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15" activeTab="5"/>
  </bookViews>
  <sheets>
    <sheet name="Datos" sheetId="1" r:id="rId1"/>
    <sheet name="Implantación" sheetId="2" r:id="rId2"/>
    <sheet name="Capital" sheetId="3" r:id="rId3"/>
    <sheet name="Cria" sheetId="4" r:id="rId4"/>
    <sheet name="Procesado" sheetId="5" r:id="rId5"/>
    <sheet name="Resultados" sheetId="6" r:id="rId6"/>
    <sheet name="Requer." sheetId="7" r:id="rId7"/>
  </sheets>
  <definedNames>
    <definedName name="_xlnm.Print_Area" localSheetId="3">'Cria'!$A$1:$I$84</definedName>
    <definedName name="_xlnm.Print_Area" localSheetId="0">'Datos'!$A$1:$K$63</definedName>
    <definedName name="_xlnm.Print_Area" localSheetId="1">'Implantación'!$A$1:$K$82</definedName>
    <definedName name="_xlnm.Print_Area" localSheetId="4">'Procesado'!$A$1:$I$67</definedName>
    <definedName name="_xlnm.Print_Area" localSheetId="5">'Resultados'!$A$1:$I$78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<sst xmlns="http://schemas.openxmlformats.org/spreadsheetml/2006/main" count="1025" uniqueCount="549">
  <si>
    <t>Peón general</t>
  </si>
  <si>
    <t>$/día</t>
  </si>
  <si>
    <t>pl/ha</t>
  </si>
  <si>
    <t>Arada</t>
  </si>
  <si>
    <t>$/ha</t>
  </si>
  <si>
    <t>años</t>
  </si>
  <si>
    <t>Rastreada</t>
  </si>
  <si>
    <t>Producción</t>
  </si>
  <si>
    <t>kgMV/pl.año</t>
  </si>
  <si>
    <t>Hormiguicida</t>
  </si>
  <si>
    <t>$/kg</t>
  </si>
  <si>
    <t>Plantines</t>
  </si>
  <si>
    <t>Cantidad</t>
  </si>
  <si>
    <t>Precio</t>
  </si>
  <si>
    <t>Importe</t>
  </si>
  <si>
    <t>Año 1</t>
  </si>
  <si>
    <t>(unid./ha)</t>
  </si>
  <si>
    <t>($/unid.)</t>
  </si>
  <si>
    <t>($/ha)</t>
  </si>
  <si>
    <t>Combate hormigas</t>
  </si>
  <si>
    <t>Mano de obra</t>
  </si>
  <si>
    <t>Limpieza</t>
  </si>
  <si>
    <t>Año 2</t>
  </si>
  <si>
    <t>Año 3</t>
  </si>
  <si>
    <t>Unidad</t>
  </si>
  <si>
    <t>kg</t>
  </si>
  <si>
    <t>Marcación (mano de obra)</t>
  </si>
  <si>
    <t>Plantación (mano de obra)</t>
  </si>
  <si>
    <t>1-1. Costo del capital inicial</t>
  </si>
  <si>
    <t>Impuesto inmobiliario</t>
  </si>
  <si>
    <t>Otros impuestos</t>
  </si>
  <si>
    <t>Arada (contratista)</t>
  </si>
  <si>
    <t>ha</t>
  </si>
  <si>
    <t>Riego (mano de obra)</t>
  </si>
  <si>
    <t>COSTO DE IMPLANTACION MORERAS (por ha)</t>
  </si>
  <si>
    <t>Rastreada (contratista)</t>
  </si>
  <si>
    <t>Gastos</t>
  </si>
  <si>
    <t>Amortizaciones</t>
  </si>
  <si>
    <t>Alambrado perimetral</t>
  </si>
  <si>
    <t>Intereses</t>
  </si>
  <si>
    <t>Renta fundiaria (tierra sin mejoras)</t>
  </si>
  <si>
    <t>Costo del año 1</t>
  </si>
  <si>
    <t>días</t>
  </si>
  <si>
    <t>meses</t>
  </si>
  <si>
    <t>Subtotal</t>
  </si>
  <si>
    <t>2-1. Intereses sobre costo del año 1</t>
  </si>
  <si>
    <t>2-2. Costo del capital inicial</t>
  </si>
  <si>
    <t>Preparación del terreno:</t>
  </si>
  <si>
    <t>Plantación:</t>
  </si>
  <si>
    <t>Cuidados culturales:</t>
  </si>
  <si>
    <t>1-6. menos: Productos y subproductos año1</t>
  </si>
  <si>
    <t>1-2. Gastos de implantación año 1</t>
  </si>
  <si>
    <t>2-3. Gastos de implantación año 2</t>
  </si>
  <si>
    <t>Cuidados culturales</t>
  </si>
  <si>
    <t>1-5. Interés circulante sobre gastos de impl. año 1</t>
  </si>
  <si>
    <t>Reposición de fallas</t>
  </si>
  <si>
    <t>2-4. Interés circulante sobre gastos de impl. año 2</t>
  </si>
  <si>
    <t>2-5. menos: Productos y subproductos año 2</t>
  </si>
  <si>
    <t>Costo al año 2</t>
  </si>
  <si>
    <t>3-1. Intereses sobre costo al año 2</t>
  </si>
  <si>
    <t>3-2. Costo del capital inicial</t>
  </si>
  <si>
    <t>3-3. Gastos de implantación año 3</t>
  </si>
  <si>
    <t>3-3. Interés circulante sobre gastos de impl. año 3</t>
  </si>
  <si>
    <t>3-4. menos: Productos y subproductos año 3</t>
  </si>
  <si>
    <t>m</t>
  </si>
  <si>
    <t>Otros impuestos (tierra)</t>
  </si>
  <si>
    <t>Costo al año 3 (Costo de implantación)</t>
  </si>
  <si>
    <t>Fertilizante</t>
  </si>
  <si>
    <t>Fertilización</t>
  </si>
  <si>
    <t>Item</t>
  </si>
  <si>
    <t>VN</t>
  </si>
  <si>
    <t>Capital</t>
  </si>
  <si>
    <t>Amortización</t>
  </si>
  <si>
    <t>promedio</t>
  </si>
  <si>
    <t>Años</t>
  </si>
  <si>
    <t>Monto</t>
  </si>
  <si>
    <t>CGCR</t>
  </si>
  <si>
    <t>Tierra (libre de mejoras)</t>
  </si>
  <si>
    <t>Mejoras</t>
  </si>
  <si>
    <t>m2</t>
  </si>
  <si>
    <t>unidades</t>
  </si>
  <si>
    <t>Tanque de agua</t>
  </si>
  <si>
    <t>Camioneta</t>
  </si>
  <si>
    <t>incidencia</t>
  </si>
  <si>
    <t>Otros útiles y herramientas varias</t>
  </si>
  <si>
    <t>conjunto</t>
  </si>
  <si>
    <t>Capital circulante</t>
  </si>
  <si>
    <t>TOTALES</t>
  </si>
  <si>
    <t>CGCR (coeficiente de gastos de conservación y reparaciones): en mejoras expresado en 1/año, en maquinaria 1/h, en vehículos 1/km y en útiles 1/año.</t>
  </si>
  <si>
    <t>Bomba de agua</t>
  </si>
  <si>
    <t>Galpón de cría</t>
  </si>
  <si>
    <t>Depósito de hojas verdes</t>
  </si>
  <si>
    <t>Depósito de herramientas y materiales</t>
  </si>
  <si>
    <t>Instalaciones</t>
  </si>
  <si>
    <t>Bandejas</t>
  </si>
  <si>
    <t>Herramientas de mano</t>
  </si>
  <si>
    <t>Tijeras de podar</t>
  </si>
  <si>
    <t>Serruchos</t>
  </si>
  <si>
    <t>Cuchillos para picar hojas</t>
  </si>
  <si>
    <t>Rodados</t>
  </si>
  <si>
    <t>Carro de mano para transporte de hojas</t>
  </si>
  <si>
    <t>VRP</t>
  </si>
  <si>
    <t>VN: valor a nuevo.  VRP: valor residual pasivo.</t>
  </si>
  <si>
    <t>Palas</t>
  </si>
  <si>
    <t>Telainos</t>
  </si>
  <si>
    <t>telainos</t>
  </si>
  <si>
    <t>Inmovilización (años)</t>
  </si>
  <si>
    <t>1/año</t>
  </si>
  <si>
    <t>1/h</t>
  </si>
  <si>
    <t>1/km</t>
  </si>
  <si>
    <t>Mochila para pulverizar</t>
  </si>
  <si>
    <t>$/año</t>
  </si>
  <si>
    <t>B i o l o g í a</t>
  </si>
  <si>
    <t>E s p a c i o</t>
  </si>
  <si>
    <t>A l i m e n t a c i ó n</t>
  </si>
  <si>
    <t>Aliment. (min/tel.-día)</t>
  </si>
  <si>
    <t>Trabajo (h/telaino)</t>
  </si>
  <si>
    <t>Estadio</t>
  </si>
  <si>
    <t>Etapa</t>
  </si>
  <si>
    <t>Semana</t>
  </si>
  <si>
    <t>Longitud inicial
(mm)</t>
  </si>
  <si>
    <t>Peso (mg)</t>
  </si>
  <si>
    <t>Duración 
(días)</t>
  </si>
  <si>
    <t>Edad final
(días)</t>
  </si>
  <si>
    <t>Temperatura
(°C)</t>
  </si>
  <si>
    <t>Humedad
(%)</t>
  </si>
  <si>
    <t>Mortandad
(% sobre anter.)</t>
  </si>
  <si>
    <t>Sobrevivientes
(%)</t>
  </si>
  <si>
    <t>Lugar</t>
  </si>
  <si>
    <t>Espacio inicial
(m2/telaino)</t>
  </si>
  <si>
    <t>Espacio final
(m2/telaino)</t>
  </si>
  <si>
    <t>Deslechos
(por estadio)</t>
  </si>
  <si>
    <t>Alimentación
(kg/día)</t>
  </si>
  <si>
    <t>Raciones
(rac./día)</t>
  </si>
  <si>
    <t>Calidad y
tamaño del
picado</t>
  </si>
  <si>
    <t>Corte y tr. hojas</t>
  </si>
  <si>
    <t>Preparac. hojas</t>
  </si>
  <si>
    <t>Distribuc. hojas</t>
  </si>
  <si>
    <t>Alimentación</t>
  </si>
  <si>
    <t>Deslecho</t>
  </si>
  <si>
    <t>Preparac. bosq.</t>
  </si>
  <si>
    <t>Recol. capullos</t>
  </si>
  <si>
    <t>Clasif. capullos</t>
  </si>
  <si>
    <t>Limpieza y desinf.</t>
  </si>
  <si>
    <t>Total insumo trab.
(hh/telaino)</t>
  </si>
  <si>
    <t>Huevo</t>
  </si>
  <si>
    <t>Conservación</t>
  </si>
  <si>
    <t>&lt; 240</t>
  </si>
  <si>
    <t>5-8</t>
  </si>
  <si>
    <t>Heladera</t>
  </si>
  <si>
    <t>Incubación</t>
  </si>
  <si>
    <t>80-85</t>
  </si>
  <si>
    <t>Incubadora</t>
  </si>
  <si>
    <t>Larva</t>
  </si>
  <si>
    <t>Nacimiento, Estad. 1</t>
  </si>
  <si>
    <t>Muy tiernas, 0,5 cm</t>
  </si>
  <si>
    <t>1a. muda</t>
  </si>
  <si>
    <t>60-65</t>
  </si>
  <si>
    <t>Estadio 2</t>
  </si>
  <si>
    <t>Muy tiernas, 1 cm</t>
  </si>
  <si>
    <t>2a. muda</t>
  </si>
  <si>
    <t>Estadio 3</t>
  </si>
  <si>
    <t>Normales, 2 cm</t>
  </si>
  <si>
    <t>3a. muda</t>
  </si>
  <si>
    <t>Estadio 4</t>
  </si>
  <si>
    <t>Normales, 3 cm</t>
  </si>
  <si>
    <t>4a. muda</t>
  </si>
  <si>
    <t>Estadio 5</t>
  </si>
  <si>
    <t>22-23</t>
  </si>
  <si>
    <t>70-75</t>
  </si>
  <si>
    <t>Formación del capullo</t>
  </si>
  <si>
    <t>Bosque</t>
  </si>
  <si>
    <t>Cosecha (p. venta)</t>
  </si>
  <si>
    <t>desde comienzo formación capullo</t>
  </si>
  <si>
    <t>kgMV/telaino</t>
  </si>
  <si>
    <t>Cosecha:</t>
  </si>
  <si>
    <t>min/kg</t>
  </si>
  <si>
    <t>Secado capullos</t>
  </si>
  <si>
    <t>Conversión:</t>
  </si>
  <si>
    <t>kgMV/kg capullo fresco</t>
  </si>
  <si>
    <t>Cosecha (p. huevos)</t>
  </si>
  <si>
    <t>&gt; 8</t>
  </si>
  <si>
    <t>Subtotal:</t>
  </si>
  <si>
    <t>Pupa</t>
  </si>
  <si>
    <t>Recip. plástico</t>
  </si>
  <si>
    <t>no requiere</t>
  </si>
  <si>
    <t>Adulto (mariposa)</t>
  </si>
  <si>
    <t>Fecundación</t>
  </si>
  <si>
    <t>Oviposición (1er día p. reproducc.)</t>
  </si>
  <si>
    <t>Oviposición (días restantes)</t>
  </si>
  <si>
    <t>Resto</t>
  </si>
  <si>
    <t>Telaino: 20.000 huevos = 11,5 g. Tamaño: 20 x 20 x 5 cm = 2000 cm3.</t>
  </si>
  <si>
    <t>Producción capullos:</t>
  </si>
  <si>
    <t>kg capullo fresco/telaino</t>
  </si>
  <si>
    <t>Cosecha: con bosque de</t>
  </si>
  <si>
    <t>Requerimiento de espacio y alimentación expresados por telaino</t>
  </si>
  <si>
    <t>Rendimiento:</t>
  </si>
  <si>
    <t>capullos secos/capullos frescos</t>
  </si>
  <si>
    <t>material natural</t>
  </si>
  <si>
    <t>Alimentación: expresada en kg de hojas verdes (kgMV).</t>
  </si>
  <si>
    <t>Peso capullo fresco:</t>
  </si>
  <si>
    <t>g</t>
  </si>
  <si>
    <t>Deslecho: cambio de cama (por estadio).</t>
  </si>
  <si>
    <t>Clasificación capullos:</t>
  </si>
  <si>
    <t>Oviposición 1er. día: 400 huevos/hembra.</t>
  </si>
  <si>
    <t>Cantidad hembras:</t>
  </si>
  <si>
    <t>hembras/telaino</t>
  </si>
  <si>
    <t>Producción telainos:</t>
  </si>
  <si>
    <t>La duración de cada estadio se refiere a la temperatura y humedad indicadas.</t>
  </si>
  <si>
    <t>huevos/hembra</t>
  </si>
  <si>
    <t xml:space="preserve">Fuentes: </t>
  </si>
  <si>
    <t>Biología, Espacio y alimentación: datos recopilados de autores varios.</t>
  </si>
  <si>
    <t>Insumo de trabajo: DE BASTIANI, Dino. El gusano de seda, cómo se cría.</t>
  </si>
  <si>
    <t>REQUERIMIENTOS DEL GUSANO DE SEDA</t>
  </si>
  <si>
    <t>Bandejas 1 x 1 m</t>
  </si>
  <si>
    <t>telainos/camada</t>
  </si>
  <si>
    <t>Instrumental</t>
  </si>
  <si>
    <t>Camas</t>
  </si>
  <si>
    <t>Termómetro</t>
  </si>
  <si>
    <t>Higrómetro</t>
  </si>
  <si>
    <t>Distribución del espacio en el galpón de cría</t>
  </si>
  <si>
    <t>Estanterías</t>
  </si>
  <si>
    <t>Espacio bosques</t>
  </si>
  <si>
    <t>Carretilla de mano para distribuc. hojas</t>
  </si>
  <si>
    <t>Machetes</t>
  </si>
  <si>
    <t>Ingresos</t>
  </si>
  <si>
    <t>menos: Costo</t>
  </si>
  <si>
    <t>Beneficio Neto</t>
  </si>
  <si>
    <t>($/año)</t>
  </si>
  <si>
    <t>($/h)</t>
  </si>
  <si>
    <t>Observaciones</t>
  </si>
  <si>
    <t>Beneficio bruto o Resultado de la empresa</t>
  </si>
  <si>
    <t>más: Amortizaciones</t>
  </si>
  <si>
    <t>Resultado operativo o resultado de caja</t>
  </si>
  <si>
    <t>Ingreso del productor</t>
  </si>
  <si>
    <t>Rentabilidad de la empresa</t>
  </si>
  <si>
    <t>1. Gastos</t>
  </si>
  <si>
    <t>Unid.</t>
  </si>
  <si>
    <t>($/unidad)</t>
  </si>
  <si>
    <t>($/camada)</t>
  </si>
  <si>
    <t>Cámara de incubación</t>
  </si>
  <si>
    <t>por unid.</t>
  </si>
  <si>
    <t>hh</t>
  </si>
  <si>
    <t>Desinfectante</t>
  </si>
  <si>
    <t>Insumo</t>
  </si>
  <si>
    <t>por telaino</t>
  </si>
  <si>
    <t>Estadio 2 (1a. muda)</t>
  </si>
  <si>
    <t>Estadio 3 (2a. muda)</t>
  </si>
  <si>
    <t>Estadio 4 (3a. muda)</t>
  </si>
  <si>
    <t>Estadio 5 (4a. muda)</t>
  </si>
  <si>
    <t>Cosecha y clasificación capullos</t>
  </si>
  <si>
    <t>Subtotal gastos</t>
  </si>
  <si>
    <t>2. Amortizaciones</t>
  </si>
  <si>
    <t>3. Intereses</t>
  </si>
  <si>
    <t>Capullos secos</t>
  </si>
  <si>
    <t>Remuneración del trabajo</t>
  </si>
  <si>
    <t xml:space="preserve">   Capullos secos</t>
  </si>
  <si>
    <t>Vida útil monte moreras</t>
  </si>
  <si>
    <t>Monte de moreras</t>
  </si>
  <si>
    <t>Camadas por año:</t>
  </si>
  <si>
    <t>Meses:</t>
  </si>
  <si>
    <t>Días/mes:</t>
  </si>
  <si>
    <t>Horas/día:</t>
  </si>
  <si>
    <t>Imprevistos:</t>
  </si>
  <si>
    <t>de los gastos</t>
  </si>
  <si>
    <t>Envases</t>
  </si>
  <si>
    <t>Gastos de comercialización</t>
  </si>
  <si>
    <t>Herbicida</t>
  </si>
  <si>
    <t>$/l</t>
  </si>
  <si>
    <t>Aplicación herbicida</t>
  </si>
  <si>
    <t>l</t>
  </si>
  <si>
    <t>pasada</t>
  </si>
  <si>
    <t>mano</t>
  </si>
  <si>
    <t>manos</t>
  </si>
  <si>
    <t>Formol 37 %</t>
  </si>
  <si>
    <t>Desinfectante en polvo</t>
  </si>
  <si>
    <t>Cal (bolsas de 50 kg)</t>
  </si>
  <si>
    <t>Papel parafinado 30 g/m2</t>
  </si>
  <si>
    <t>$/bolsa</t>
  </si>
  <si>
    <t>$/m2</t>
  </si>
  <si>
    <t>Electricidad</t>
  </si>
  <si>
    <t>$/kWh</t>
  </si>
  <si>
    <t>Espacio bandejas (hasta 3a. muda)</t>
  </si>
  <si>
    <t>Espacio camas (3a. a 4a. muda)</t>
  </si>
  <si>
    <t>TOTAL</t>
  </si>
  <si>
    <t>Materia verde disponible</t>
  </si>
  <si>
    <t>Papel parafinado p. deslechos</t>
  </si>
  <si>
    <t>hh/telaino</t>
  </si>
  <si>
    <t>segundos/huevo</t>
  </si>
  <si>
    <t>OTROS REQUERIMIENTOS</t>
  </si>
  <si>
    <t>Luz natural:</t>
  </si>
  <si>
    <t>Necesidad de iluminación:</t>
  </si>
  <si>
    <t>h/día</t>
  </si>
  <si>
    <t>Energía eléctrica:</t>
  </si>
  <si>
    <t>Iluminación durante la incubación:</t>
  </si>
  <si>
    <t>W/telaino</t>
  </si>
  <si>
    <t>Una cámara de cría de 4 x 5 x 4 (80 m3) para 1.000 telainos requiere 4 tubos fluorescentes de 20 W y 1 de 40 W, total 120 W o sea</t>
  </si>
  <si>
    <t>Desinfección bandejas:</t>
  </si>
  <si>
    <t>l formol 37%/telaino</t>
  </si>
  <si>
    <t>kWh</t>
  </si>
  <si>
    <t>kWh/telaino</t>
  </si>
  <si>
    <t>Provisión de agua:</t>
  </si>
  <si>
    <t>l/h</t>
  </si>
  <si>
    <t>Altura bombeo:</t>
  </si>
  <si>
    <t>Gasoil</t>
  </si>
  <si>
    <t>Combustible</t>
  </si>
  <si>
    <t>km/año</t>
  </si>
  <si>
    <t>l/km</t>
  </si>
  <si>
    <t>Gastos de conserv. y reparac.</t>
  </si>
  <si>
    <t>Movilidad (camioneta)</t>
  </si>
  <si>
    <t>$/km</t>
  </si>
  <si>
    <t>h</t>
  </si>
  <si>
    <t>l agua/telaino</t>
  </si>
  <si>
    <t>Calefacción:</t>
  </si>
  <si>
    <t>Gastos conserv. y reparac.</t>
  </si>
  <si>
    <t>Energía bombeo:</t>
  </si>
  <si>
    <t>kWh/l</t>
  </si>
  <si>
    <t>Poda de formación</t>
  </si>
  <si>
    <t>Pasillos (25 % superficie)</t>
  </si>
  <si>
    <t>Desinfección local incubación:</t>
  </si>
  <si>
    <t>l solución hipoclorito/m2 paredes y pisos</t>
  </si>
  <si>
    <t>1 taza/5 l agua</t>
  </si>
  <si>
    <t>Cal</t>
  </si>
  <si>
    <t>kg/telaino</t>
  </si>
  <si>
    <t>Borra (p. seda schappé):</t>
  </si>
  <si>
    <t>COSTO DE LA ACTIVIDAD</t>
  </si>
  <si>
    <t>erizos/telaino</t>
  </si>
  <si>
    <t>Espacio por erizo:</t>
  </si>
  <si>
    <t>Por capullo</t>
  </si>
  <si>
    <t>($/kg capullo seco)</t>
  </si>
  <si>
    <t>Cuidados culturales moreras</t>
  </si>
  <si>
    <t>$/hh</t>
  </si>
  <si>
    <t>hh/ha.año</t>
  </si>
  <si>
    <t>Riego</t>
  </si>
  <si>
    <t>Producción por ha</t>
  </si>
  <si>
    <t>kg/ha.año</t>
  </si>
  <si>
    <t>Producción por planta</t>
  </si>
  <si>
    <t>kg/ha</t>
  </si>
  <si>
    <t>Energía eléctrica</t>
  </si>
  <si>
    <t>Gastos generales</t>
  </si>
  <si>
    <t>W/m2</t>
  </si>
  <si>
    <t>Local de procesado</t>
  </si>
  <si>
    <t>Quemador o anafe</t>
  </si>
  <si>
    <t>Maquinaria</t>
  </si>
  <si>
    <t>Desborradora/Clasificadora</t>
  </si>
  <si>
    <t>Secadora Capullos</t>
  </si>
  <si>
    <t>Rueca</t>
  </si>
  <si>
    <t>Enmadejadora</t>
  </si>
  <si>
    <t>Motor 1/4 CV</t>
  </si>
  <si>
    <t>Utensilios</t>
  </si>
  <si>
    <t>Olla enlozada 20 l</t>
  </si>
  <si>
    <t>Enseres varios</t>
  </si>
  <si>
    <t>Botiquín Primeros Auxilios</t>
  </si>
  <si>
    <t>Eficiencia de cosecha</t>
  </si>
  <si>
    <t>%</t>
  </si>
  <si>
    <t>Jabón blanco</t>
  </si>
  <si>
    <t>Bicarbonato</t>
  </si>
  <si>
    <t>Agua oxigenada</t>
  </si>
  <si>
    <t>panes</t>
  </si>
  <si>
    <t>$/pan</t>
  </si>
  <si>
    <t>Capullos secos/capullos frescos</t>
  </si>
  <si>
    <t>Máquinas</t>
  </si>
  <si>
    <t>Cantidad de telainos por camada:</t>
  </si>
  <si>
    <t>Monotributo</t>
  </si>
  <si>
    <t>Bolsas para capullos</t>
  </si>
  <si>
    <t>Peso capullos secos apilados:</t>
  </si>
  <si>
    <t>kg/m3</t>
  </si>
  <si>
    <t>Desborre del capullo fresco</t>
  </si>
  <si>
    <t>Secado del capullo fresco</t>
  </si>
  <si>
    <t>bolsas</t>
  </si>
  <si>
    <t>Calentamiento de agua:</t>
  </si>
  <si>
    <t>Rendimiento térmico:</t>
  </si>
  <si>
    <t>Secado capullos:</t>
  </si>
  <si>
    <t>Insumo de trabajo en compra y recepción telainos (hh/telaino):</t>
  </si>
  <si>
    <t>Compra</t>
  </si>
  <si>
    <t>Papelería</t>
  </si>
  <si>
    <t>Comunicaciones (teléfono, etc.)</t>
  </si>
  <si>
    <t>Insumos requeridos</t>
  </si>
  <si>
    <t>por kg de capullo seco</t>
  </si>
  <si>
    <t>l/kg capullo seco</t>
  </si>
  <si>
    <t>Gastos generales: incluidos en cría</t>
  </si>
  <si>
    <t>Iluminación local procesado</t>
  </si>
  <si>
    <t>Iluminación local de procesado</t>
  </si>
  <si>
    <t>Movilidad (camioneta): incluidos en cría</t>
  </si>
  <si>
    <t>RESULTADOS PRODUCCION CAPULLOS DE SEDA</t>
  </si>
  <si>
    <t>CUENTA DE EXPLOTACION DEL PROCESADO DE LA SEDA</t>
  </si>
  <si>
    <t>Cocción capullos</t>
  </si>
  <si>
    <t>Cocción capullos:</t>
  </si>
  <si>
    <t>kcal/m3</t>
  </si>
  <si>
    <t>kcal/kg</t>
  </si>
  <si>
    <t>kcal/l agua</t>
  </si>
  <si>
    <t>Devanado capullos</t>
  </si>
  <si>
    <t>Poder calorífico combustibles:</t>
  </si>
  <si>
    <t>operarios</t>
  </si>
  <si>
    <t>Tiempo cocción:</t>
  </si>
  <si>
    <t>Tiempo preparación:</t>
  </si>
  <si>
    <t>Peso capullo seco:</t>
  </si>
  <si>
    <t>Iluminación artificial:</t>
  </si>
  <si>
    <t>Potencia del motor</t>
  </si>
  <si>
    <t>kW</t>
  </si>
  <si>
    <t>Insumo por kg seda cruda</t>
  </si>
  <si>
    <t>del peso del capullo fresco</t>
  </si>
  <si>
    <t>kgcapullo/h</t>
  </si>
  <si>
    <t>kg/año</t>
  </si>
  <si>
    <t>TOTAL INGRESOS</t>
  </si>
  <si>
    <t>Por seda cruda</t>
  </si>
  <si>
    <t>Recuperación bolsas para capullos</t>
  </si>
  <si>
    <t>$/caja</t>
  </si>
  <si>
    <t>cajas</t>
  </si>
  <si>
    <t>Cajas para madejas</t>
  </si>
  <si>
    <t>Bolsas de plástico</t>
  </si>
  <si>
    <t>Bolsas de plástico PE</t>
  </si>
  <si>
    <t>&gt; 6</t>
  </si>
  <si>
    <t>25-26</t>
  </si>
  <si>
    <t>Borra para seda schappé</t>
  </si>
  <si>
    <t>Descrude</t>
  </si>
  <si>
    <t>Borra (subproducto)</t>
  </si>
  <si>
    <t>Bolsas p. capullos (0,07 m3)</t>
  </si>
  <si>
    <t>(kg cap.frescos/tel.)</t>
  </si>
  <si>
    <t>Seda total/capullos secos</t>
  </si>
  <si>
    <t>Provisión de agua para cocción</t>
  </si>
  <si>
    <t>Provisión de agua para descrude</t>
  </si>
  <si>
    <t>Descrude seda:</t>
  </si>
  <si>
    <t>l/kg seda cruda</t>
  </si>
  <si>
    <t>kg seda cruda/año</t>
  </si>
  <si>
    <t>Insumo por kg seda schappé</t>
  </si>
  <si>
    <t>kg seda schappé/año</t>
  </si>
  <si>
    <t>kg cap./año</t>
  </si>
  <si>
    <t>Seda artesanal/seda cruda</t>
  </si>
  <si>
    <t>Seda artesanal/seda schappé</t>
  </si>
  <si>
    <t>Seda artesanal (de seda cruda)</t>
  </si>
  <si>
    <t>Madeja seda cruda/total seda</t>
  </si>
  <si>
    <t>Madeja seda schappé/total seda</t>
  </si>
  <si>
    <t>Conjunto</t>
  </si>
  <si>
    <t>Seda schappé</t>
  </si>
  <si>
    <t>Precio de la seda artesanal</t>
  </si>
  <si>
    <t>Limpieza y desinfección inicial de las instalaciones</t>
  </si>
  <si>
    <t>Req. para una camada</t>
  </si>
  <si>
    <t>Provisión de agua para limpieza</t>
  </si>
  <si>
    <t>Días por camada:</t>
  </si>
  <si>
    <t>Días por año:</t>
  </si>
  <si>
    <t>Cosecha para venta:</t>
  </si>
  <si>
    <t>Limpieza y ventilación:</t>
  </si>
  <si>
    <t>Desborradora</t>
  </si>
  <si>
    <t>Desborrado manual</t>
  </si>
  <si>
    <t>Cantidad operarios</t>
  </si>
  <si>
    <t>Iluminación galpón de cría</t>
  </si>
  <si>
    <t>Iluminación galpón cría</t>
  </si>
  <si>
    <t>Hi =</t>
  </si>
  <si>
    <t>Hf =</t>
  </si>
  <si>
    <t>Fueloil</t>
  </si>
  <si>
    <t>Querosene</t>
  </si>
  <si>
    <t>Gas natural</t>
  </si>
  <si>
    <t>Gas licuado (propano)</t>
  </si>
  <si>
    <t>Leña</t>
  </si>
  <si>
    <t>Paja (20 % hum.)</t>
  </si>
  <si>
    <t>Bagazo</t>
  </si>
  <si>
    <t>Carbón de leña</t>
  </si>
  <si>
    <t xml:space="preserve">kcal/l </t>
  </si>
  <si>
    <t>Cajas de cartón 10 kg</t>
  </si>
  <si>
    <t>Estacas</t>
  </si>
  <si>
    <t>Densidad plantación</t>
  </si>
  <si>
    <t>h/telaino</t>
  </si>
  <si>
    <t>Secado madejas al aire libre</t>
  </si>
  <si>
    <t>CUENTA DE EXPLOTACION DE LA CRIA DEL GUSANO DE SEDA</t>
  </si>
  <si>
    <t>DATOS PARA PARA LA PRODUCCION SERICICOLA</t>
  </si>
  <si>
    <t>Cría del gusano de seda</t>
  </si>
  <si>
    <t>Procesado de la seda</t>
  </si>
  <si>
    <t>Verificación de la capacidad instalada</t>
  </si>
  <si>
    <t>Rendimientos de seda</t>
  </si>
  <si>
    <t>Interés fundiario:</t>
  </si>
  <si>
    <t>Cap. de explotación:</t>
  </si>
  <si>
    <t>Cap. circulante:</t>
  </si>
  <si>
    <t>Interés fundiario (alambrado perimetral)</t>
  </si>
  <si>
    <t>Superficie</t>
  </si>
  <si>
    <t>Otros gastos</t>
  </si>
  <si>
    <t>CUENTA CAPITAL CRIA GUSANO DE SEDA</t>
  </si>
  <si>
    <t>IMPLANTACION MORERAS</t>
  </si>
  <si>
    <t>Datos técnicos del monte de moreras:</t>
  </si>
  <si>
    <t>Proceso:</t>
  </si>
  <si>
    <t>Otros</t>
  </si>
  <si>
    <t>tandas</t>
  </si>
  <si>
    <t>Cbio. agua cada</t>
  </si>
  <si>
    <t>Gastos de conservación del capital</t>
  </si>
  <si>
    <t>Mejoras cría gusano de seda</t>
  </si>
  <si>
    <t>Instalaciones cría gusano de seda (excepto bomba de agua)</t>
  </si>
  <si>
    <t>Instrumental cría gusano de seda</t>
  </si>
  <si>
    <t>Máquinas cría gusano de seda</t>
  </si>
  <si>
    <t>Rodados (excepto camioneta)</t>
  </si>
  <si>
    <t>Herramientas de mano cría gusano de seda</t>
  </si>
  <si>
    <t>Mejoras procesado de la seda</t>
  </si>
  <si>
    <t>Instalaciones procesado de la seda (excepto bomba de agua)</t>
  </si>
  <si>
    <t>Maquinaria procesado de la seda</t>
  </si>
  <si>
    <t>Utensilios procesado de la seda</t>
  </si>
  <si>
    <t>Importe anual</t>
  </si>
  <si>
    <t>INGRESOS DE LA CRIA DEL GUSANO DE SEDA</t>
  </si>
  <si>
    <t>INGRESOS DEL PROCESADO DE LA SEDA</t>
  </si>
  <si>
    <t>S e d a</t>
  </si>
  <si>
    <t>Iluminación</t>
  </si>
  <si>
    <t>Días de iluminación local procesado</t>
  </si>
  <si>
    <t>Horas/día iluminación galpón de cría</t>
  </si>
  <si>
    <t>Horas/día ilumin. local de procesado</t>
  </si>
  <si>
    <t>Precios cría gusanos de seda</t>
  </si>
  <si>
    <t>Precios procesamiento de la seda</t>
  </si>
  <si>
    <t>Por hora trab.</t>
  </si>
  <si>
    <t>RESULTADOS DEL PROCESADO DE LA SEDA</t>
  </si>
  <si>
    <t>Por kg seda</t>
  </si>
  <si>
    <t>($/kg seda)</t>
  </si>
  <si>
    <t>RESULTADOS  DE LA PRODUCCION DE SEDA ARTESANAL (CONJUNTO DE PRODUCCION DE CAPULLOS MAS PROCESADO DE LA SEDA)</t>
  </si>
  <si>
    <t>ANALISIS DE SENSIBILIDAD DEL PRECIO DE LA SEDA</t>
  </si>
  <si>
    <t>$/kg seda</t>
  </si>
  <si>
    <t>más: Beneficio normal</t>
  </si>
  <si>
    <t>Total anual</t>
  </si>
  <si>
    <t>Descrude de la seda cruda</t>
  </si>
  <si>
    <t>Mano de obra requerida (hh/año):</t>
  </si>
  <si>
    <t>Mano de obra disponible:</t>
  </si>
  <si>
    <t xml:space="preserve">Tasas utilizadas en el cálculo de intereses: </t>
  </si>
  <si>
    <t>Renta fundiaria:</t>
  </si>
  <si>
    <t>CUENTA CAPITAL PROCESADO DE LA SEDA</t>
  </si>
  <si>
    <t>Trabajo del productor y su familia</t>
  </si>
  <si>
    <t>Trabajo asalariado (pagado a terceros)</t>
  </si>
  <si>
    <t>Insumo de trabajo (hh/kg capullo fresco):</t>
  </si>
  <si>
    <t>segundo/capullo fresco</t>
  </si>
  <si>
    <t>Cal:</t>
  </si>
  <si>
    <t>Erizos de plástico:</t>
  </si>
  <si>
    <t>erizos de plástico</t>
  </si>
  <si>
    <t>Estanterías p. 5 bandejas 1 x 1 m</t>
  </si>
  <si>
    <t>Preparación telainos propios:</t>
  </si>
  <si>
    <t>Tareas posteriores a la cosecha (= limpieza inicial):</t>
  </si>
  <si>
    <t>Alimentación
(kgMV/telaino)</t>
  </si>
  <si>
    <t>Bandejas (m2/telaino)</t>
  </si>
  <si>
    <t>Camas (m2/telaino)</t>
  </si>
  <si>
    <t>kg cap./h</t>
  </si>
  <si>
    <t>Capacidad de trabajo devanadora</t>
  </si>
  <si>
    <t>Personal asignado a la máquina</t>
  </si>
  <si>
    <t>m2/erizo</t>
  </si>
  <si>
    <t>Para limpieza:</t>
  </si>
  <si>
    <t>Producc. huevos para reprod.:</t>
  </si>
  <si>
    <t>Fecha:</t>
  </si>
  <si>
    <t>Precios implantación moreras</t>
  </si>
  <si>
    <t>Precios de los productos</t>
  </si>
  <si>
    <t>por el productor del lugar de venta con su vehculo.</t>
  </si>
  <si>
    <t>Los precios se entienden puestos en la explotación o retirados</t>
  </si>
  <si>
    <t>contrario no (sin IVA).</t>
  </si>
  <si>
    <t>Si es monotributista los precios deben incluir el IVA;</t>
  </si>
  <si>
    <t>Fecha de actualización de los precios:</t>
  </si>
  <si>
    <t>Precios estimados el</t>
  </si>
  <si>
    <t>Precios de insumos y productos estimados el</t>
  </si>
  <si>
    <t>Precios de bienes de uso estimados el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</si>
</sst>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&quot; $/h&quot;"/>
    <numFmt numFmtId="181" formatCode="_ * #,##0.0_ ;_ * \-#,##0.0_ ;_ * &quot;-&quot;??_ ;_ @_ "/>
    <numFmt numFmtId="182" formatCode="&quot;Alambr. perim. para&quot;##&quot;ha&quot;"/>
    <numFmt numFmtId="183" formatCode="_ * #,##0_ ;_ * \-#,##0_ ;_ * &quot;-&quot;??_ ;_ @_ "/>
    <numFmt numFmtId="184" formatCode="##&quot; ha&quot;"/>
    <numFmt numFmtId="185" formatCode="General_)"/>
    <numFmt numFmtId="186" formatCode="_-* #,##0_-;\-* #,##0_-;_-* &quot;-&quot;??_-;_-@_-"/>
    <numFmt numFmtId="187" formatCode="_-* #,##0.00_-;\-* #,##0.00_-;_-* &quot;-&quot;??_-;_-@_-"/>
    <numFmt numFmtId="188" formatCode="0.0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_ * #,##0.000_ ;_ * \-#,##0.000_ ;_ * &quot;-&quot;??_ ;_ @_ "/>
    <numFmt numFmtId="197" formatCode="_ * #,##0.0000_ ;_ * \-#,##0.0000_ ;_ * &quot;-&quot;??_ ;_ @_ "/>
    <numFmt numFmtId="198" formatCode="_ * #,##0.00000_ ;_ * \-#,##0.00000_ ;_ * &quot;-&quot;??_ ;_ @_ "/>
    <numFmt numFmtId="199" formatCode="_ * #,##0.000000_ ;_ * \-#,##0.000000_ ;_ * &quot;-&quot;??_ ;_ @_ "/>
    <numFmt numFmtId="200" formatCode="_ * #,##0.0_ ;_ * \-#,##0.0_ ;_ * &quot;-&quot;?_ ;_ @_ "/>
    <numFmt numFmtId="201" formatCode="_-* #,##0.0_-;\-* #,##0.0_-;_-* &quot;-&quot;??_-;_-@_-"/>
    <numFmt numFmtId="202" formatCode="_ * #,##0.000000_ ;_ * \-#,##0.000000_ ;_ * &quot;-&quot;??????_ ;_ @_ "/>
    <numFmt numFmtId="203" formatCode="d\-mmm\-yy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17" applyAlignment="1">
      <alignment/>
    </xf>
    <xf numFmtId="0" fontId="1" fillId="0" borderId="0" xfId="0" applyFont="1" applyBorder="1" applyAlignment="1">
      <alignment/>
    </xf>
    <xf numFmtId="9" fontId="2" fillId="0" borderId="0" xfId="2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71" fontId="2" fillId="0" borderId="0" xfId="17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186" fontId="2" fillId="0" borderId="0" xfId="17" applyNumberFormat="1" applyFont="1" applyBorder="1" applyAlignment="1" applyProtection="1">
      <alignment/>
      <protection locked="0"/>
    </xf>
    <xf numFmtId="186" fontId="2" fillId="0" borderId="1" xfId="17" applyNumberFormat="1" applyFont="1" applyBorder="1" applyAlignment="1" applyProtection="1">
      <alignment/>
      <protection locked="0"/>
    </xf>
    <xf numFmtId="9" fontId="2" fillId="0" borderId="1" xfId="21" applyFont="1" applyBorder="1" applyAlignment="1" applyProtection="1">
      <alignment/>
      <protection locked="0"/>
    </xf>
    <xf numFmtId="171" fontId="2" fillId="0" borderId="1" xfId="17" applyFont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71" fontId="0" fillId="0" borderId="5" xfId="17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textRotation="90"/>
    </xf>
    <xf numFmtId="0" fontId="0" fillId="0" borderId="1" xfId="0" applyBorder="1" applyAlignment="1">
      <alignment horizontal="right" textRotation="90" wrapText="1"/>
    </xf>
    <xf numFmtId="0" fontId="0" fillId="0" borderId="9" xfId="0" applyBorder="1" applyAlignment="1">
      <alignment horizontal="right" textRotation="90" wrapText="1"/>
    </xf>
    <xf numFmtId="0" fontId="0" fillId="0" borderId="1" xfId="0" applyBorder="1" applyAlignment="1">
      <alignment horizontal="center" textRotation="90"/>
    </xf>
    <xf numFmtId="0" fontId="0" fillId="0" borderId="10" xfId="0" applyBorder="1" applyAlignment="1">
      <alignment horizontal="right" textRotation="90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right" textRotation="90"/>
    </xf>
    <xf numFmtId="0" fontId="0" fillId="0" borderId="11" xfId="0" applyBorder="1" applyAlignment="1">
      <alignment horizontal="right"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" fontId="0" fillId="0" borderId="0" xfId="0" applyNumberFormat="1" applyAlignment="1" quotePrefix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171" fontId="0" fillId="0" borderId="5" xfId="17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16" fontId="0" fillId="0" borderId="16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71" fontId="0" fillId="0" borderId="15" xfId="17" applyBorder="1" applyAlignment="1">
      <alignment/>
    </xf>
    <xf numFmtId="171" fontId="0" fillId="0" borderId="19" xfId="17" applyBorder="1" applyAlignment="1">
      <alignment/>
    </xf>
    <xf numFmtId="17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71" fontId="0" fillId="0" borderId="16" xfId="17" applyBorder="1" applyAlignment="1">
      <alignment/>
    </xf>
    <xf numFmtId="171" fontId="0" fillId="0" borderId="18" xfId="17" applyBorder="1" applyAlignment="1">
      <alignment/>
    </xf>
    <xf numFmtId="171" fontId="0" fillId="0" borderId="16" xfId="0" applyNumberFormat="1" applyBorder="1" applyAlignment="1">
      <alignment/>
    </xf>
    <xf numFmtId="188" fontId="0" fillId="0" borderId="5" xfId="0" applyNumberForma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188" fontId="0" fillId="0" borderId="21" xfId="0" applyNumberFormat="1" applyFill="1" applyBorder="1" applyAlignment="1">
      <alignment horizontal="right"/>
    </xf>
    <xf numFmtId="0" fontId="0" fillId="0" borderId="23" xfId="0" applyBorder="1" applyAlignment="1">
      <alignment horizontal="right"/>
    </xf>
    <xf numFmtId="171" fontId="0" fillId="0" borderId="22" xfId="17" applyBorder="1" applyAlignment="1">
      <alignment/>
    </xf>
    <xf numFmtId="171" fontId="0" fillId="0" borderId="24" xfId="17" applyBorder="1" applyAlignment="1">
      <alignment/>
    </xf>
    <xf numFmtId="171" fontId="0" fillId="0" borderId="21" xfId="17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171" fontId="0" fillId="0" borderId="1" xfId="17" applyBorder="1" applyAlignment="1">
      <alignment/>
    </xf>
    <xf numFmtId="0" fontId="0" fillId="0" borderId="0" xfId="0" applyFill="1" applyAlignment="1">
      <alignment/>
    </xf>
    <xf numFmtId="2" fontId="0" fillId="0" borderId="1" xfId="0" applyNumberFormat="1" applyBorder="1" applyAlignment="1">
      <alignment/>
    </xf>
    <xf numFmtId="171" fontId="0" fillId="0" borderId="9" xfId="17" applyBorder="1" applyAlignment="1">
      <alignment/>
    </xf>
    <xf numFmtId="0" fontId="0" fillId="0" borderId="0" xfId="0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Border="1" applyAlignment="1">
      <alignment horizontal="right"/>
    </xf>
    <xf numFmtId="171" fontId="0" fillId="0" borderId="0" xfId="17" applyFill="1" applyBorder="1" applyAlignment="1">
      <alignment/>
    </xf>
    <xf numFmtId="0" fontId="0" fillId="0" borderId="8" xfId="0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 horizontal="left"/>
    </xf>
    <xf numFmtId="183" fontId="0" fillId="0" borderId="26" xfId="17" applyNumberFormat="1" applyBorder="1" applyAlignment="1">
      <alignment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186" fontId="0" fillId="0" borderId="0" xfId="17" applyNumberFormat="1" applyFont="1" applyBorder="1" applyAlignment="1" applyProtection="1">
      <alignment/>
      <protection locked="0"/>
    </xf>
    <xf numFmtId="183" fontId="2" fillId="0" borderId="0" xfId="17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17" applyBorder="1" applyAlignment="1">
      <alignment/>
    </xf>
    <xf numFmtId="171" fontId="2" fillId="0" borderId="0" xfId="17" applyFont="1" applyBorder="1" applyAlignment="1">
      <alignment/>
    </xf>
    <xf numFmtId="171" fontId="2" fillId="0" borderId="1" xfId="17" applyFont="1" applyBorder="1" applyAlignment="1">
      <alignment/>
    </xf>
    <xf numFmtId="0" fontId="2" fillId="0" borderId="26" xfId="0" applyFont="1" applyBorder="1" applyAlignment="1">
      <alignment/>
    </xf>
    <xf numFmtId="19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3" fontId="0" fillId="0" borderId="0" xfId="0" applyNumberFormat="1" applyBorder="1" applyAlignment="1">
      <alignment/>
    </xf>
    <xf numFmtId="171" fontId="0" fillId="0" borderId="0" xfId="17" applyFont="1" applyBorder="1" applyAlignment="1">
      <alignment/>
    </xf>
    <xf numFmtId="18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horizontal="right"/>
    </xf>
    <xf numFmtId="171" fontId="2" fillId="0" borderId="5" xfId="17" applyFont="1" applyBorder="1" applyAlignment="1">
      <alignment/>
    </xf>
    <xf numFmtId="181" fontId="0" fillId="0" borderId="0" xfId="17" applyNumberFormat="1" applyBorder="1" applyAlignment="1">
      <alignment/>
    </xf>
    <xf numFmtId="171" fontId="0" fillId="0" borderId="0" xfId="17" applyBorder="1" applyAlignment="1">
      <alignment/>
    </xf>
    <xf numFmtId="171" fontId="0" fillId="0" borderId="5" xfId="17" applyBorder="1" applyAlignment="1">
      <alignment/>
    </xf>
    <xf numFmtId="171" fontId="0" fillId="0" borderId="0" xfId="17" applyFill="1" applyBorder="1" applyAlignment="1">
      <alignment/>
    </xf>
    <xf numFmtId="171" fontId="0" fillId="0" borderId="9" xfId="17" applyBorder="1" applyAlignment="1">
      <alignment/>
    </xf>
    <xf numFmtId="0" fontId="1" fillId="0" borderId="0" xfId="0" applyFont="1" applyAlignment="1">
      <alignment horizontal="right"/>
    </xf>
    <xf numFmtId="171" fontId="0" fillId="0" borderId="0" xfId="0" applyNumberFormat="1" applyFill="1" applyBorder="1" applyAlignment="1">
      <alignment/>
    </xf>
    <xf numFmtId="171" fontId="0" fillId="0" borderId="0" xfId="17" applyNumberFormat="1" applyFill="1" applyBorder="1" applyAlignment="1">
      <alignment/>
    </xf>
    <xf numFmtId="197" fontId="0" fillId="0" borderId="0" xfId="17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171" fontId="0" fillId="0" borderId="0" xfId="17" applyFill="1" applyAlignment="1">
      <alignment horizontal="center"/>
    </xf>
    <xf numFmtId="0" fontId="0" fillId="0" borderId="0" xfId="0" applyFill="1" applyAlignment="1">
      <alignment horizontal="right"/>
    </xf>
    <xf numFmtId="171" fontId="0" fillId="0" borderId="5" xfId="17" applyFill="1" applyBorder="1" applyAlignment="1">
      <alignment/>
    </xf>
    <xf numFmtId="197" fontId="0" fillId="0" borderId="0" xfId="0" applyNumberFormat="1" applyFill="1" applyBorder="1" applyAlignment="1">
      <alignment/>
    </xf>
    <xf numFmtId="196" fontId="0" fillId="0" borderId="0" xfId="17" applyNumberFormat="1" applyBorder="1" applyAlignment="1">
      <alignment/>
    </xf>
    <xf numFmtId="197" fontId="0" fillId="0" borderId="0" xfId="17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NumberFormat="1" applyFill="1" applyAlignment="1">
      <alignment/>
    </xf>
    <xf numFmtId="183" fontId="0" fillId="0" borderId="22" xfId="17" applyNumberFormat="1" applyFill="1" applyBorder="1" applyAlignment="1" quotePrefix="1">
      <alignment horizontal="right"/>
    </xf>
    <xf numFmtId="181" fontId="0" fillId="0" borderId="22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171" fontId="1" fillId="0" borderId="28" xfId="0" applyNumberFormat="1" applyFont="1" applyBorder="1" applyAlignment="1">
      <alignment/>
    </xf>
    <xf numFmtId="171" fontId="1" fillId="0" borderId="29" xfId="17" applyFont="1" applyBorder="1" applyAlignment="1">
      <alignment/>
    </xf>
    <xf numFmtId="17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171" fontId="0" fillId="0" borderId="26" xfId="0" applyNumberFormat="1" applyBorder="1" applyAlignment="1">
      <alignment/>
    </xf>
    <xf numFmtId="0" fontId="0" fillId="0" borderId="26" xfId="0" applyFill="1" applyBorder="1" applyAlignment="1">
      <alignment/>
    </xf>
    <xf numFmtId="171" fontId="0" fillId="0" borderId="6" xfId="17" applyBorder="1" applyAlignment="1">
      <alignment/>
    </xf>
    <xf numFmtId="183" fontId="1" fillId="0" borderId="0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" xfId="0" applyFill="1" applyBorder="1" applyAlignment="1">
      <alignment/>
    </xf>
    <xf numFmtId="188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0" xfId="17" applyFill="1" applyBorder="1" applyAlignment="1" quotePrefix="1">
      <alignment/>
    </xf>
    <xf numFmtId="0" fontId="0" fillId="0" borderId="9" xfId="0" applyBorder="1" applyAlignment="1">
      <alignment horizontal="left"/>
    </xf>
    <xf numFmtId="0" fontId="7" fillId="0" borderId="0" xfId="0" applyFont="1" applyAlignment="1">
      <alignment/>
    </xf>
    <xf numFmtId="183" fontId="2" fillId="0" borderId="0" xfId="17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171" fontId="2" fillId="0" borderId="0" xfId="17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71" fontId="3" fillId="0" borderId="1" xfId="17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right"/>
      <protection/>
    </xf>
    <xf numFmtId="0" fontId="1" fillId="0" borderId="27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186" fontId="0" fillId="0" borderId="2" xfId="17" applyNumberFormat="1" applyFont="1" applyBorder="1" applyAlignment="1" applyProtection="1">
      <alignment/>
      <protection/>
    </xf>
    <xf numFmtId="171" fontId="0" fillId="0" borderId="0" xfId="17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9" fontId="0" fillId="0" borderId="26" xfId="2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83" fontId="0" fillId="0" borderId="0" xfId="17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6" fontId="0" fillId="0" borderId="0" xfId="17" applyNumberFormat="1" applyFont="1" applyBorder="1" applyAlignment="1" applyProtection="1">
      <alignment/>
      <protection/>
    </xf>
    <xf numFmtId="186" fontId="0" fillId="0" borderId="0" xfId="17" applyNumberFormat="1" applyFont="1" applyBorder="1" applyAlignment="1" applyProtection="1" quotePrefix="1">
      <alignment/>
      <protection/>
    </xf>
    <xf numFmtId="9" fontId="0" fillId="0" borderId="0" xfId="21" applyFont="1" applyBorder="1" applyAlignment="1" applyProtection="1">
      <alignment/>
      <protection/>
    </xf>
    <xf numFmtId="171" fontId="0" fillId="0" borderId="5" xfId="17" applyFont="1" applyBorder="1" applyAlignment="1" applyProtection="1">
      <alignment/>
      <protection/>
    </xf>
    <xf numFmtId="186" fontId="2" fillId="0" borderId="0" xfId="17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9" fontId="2" fillId="0" borderId="0" xfId="21" applyFont="1" applyBorder="1" applyAlignment="1" applyProtection="1">
      <alignment/>
      <protection/>
    </xf>
    <xf numFmtId="186" fontId="0" fillId="0" borderId="1" xfId="17" applyNumberFormat="1" applyFont="1" applyBorder="1" applyAlignment="1" applyProtection="1">
      <alignment/>
      <protection/>
    </xf>
    <xf numFmtId="171" fontId="2" fillId="0" borderId="1" xfId="17" applyFont="1" applyBorder="1" applyAlignment="1" applyProtection="1">
      <alignment/>
      <protection/>
    </xf>
    <xf numFmtId="171" fontId="0" fillId="0" borderId="9" xfId="17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186" fontId="0" fillId="0" borderId="2" xfId="17" applyNumberFormat="1" applyFont="1" applyBorder="1" applyAlignment="1" applyProtection="1">
      <alignment horizontal="right"/>
      <protection/>
    </xf>
    <xf numFmtId="186" fontId="0" fillId="0" borderId="30" xfId="17" applyNumberFormat="1" applyFont="1" applyFill="1" applyBorder="1" applyAlignment="1" applyProtection="1">
      <alignment/>
      <protection/>
    </xf>
    <xf numFmtId="0" fontId="0" fillId="0" borderId="0" xfId="17" applyNumberFormat="1" applyFont="1" applyAlignment="1" applyProtection="1">
      <alignment/>
      <protection/>
    </xf>
    <xf numFmtId="187" fontId="0" fillId="0" borderId="1" xfId="17" applyNumberFormat="1" applyFont="1" applyBorder="1" applyAlignment="1" applyProtection="1">
      <alignment/>
      <protection/>
    </xf>
    <xf numFmtId="187" fontId="0" fillId="0" borderId="2" xfId="17" applyNumberFormat="1" applyFont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0" fillId="0" borderId="5" xfId="0" applyFill="1" applyBorder="1" applyAlignment="1">
      <alignment/>
    </xf>
    <xf numFmtId="171" fontId="0" fillId="0" borderId="9" xfId="17" applyFill="1" applyBorder="1" applyAlignment="1">
      <alignment/>
    </xf>
    <xf numFmtId="188" fontId="0" fillId="0" borderId="0" xfId="0" applyNumberFormat="1" applyFill="1" applyBorder="1" applyAlignment="1">
      <alignment horizontal="right"/>
    </xf>
    <xf numFmtId="186" fontId="2" fillId="0" borderId="2" xfId="17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9" fontId="2" fillId="0" borderId="0" xfId="21" applyFont="1" applyAlignment="1" applyProtection="1">
      <alignment horizontal="left"/>
      <protection locked="0"/>
    </xf>
    <xf numFmtId="183" fontId="2" fillId="0" borderId="1" xfId="17" applyNumberFormat="1" applyFont="1" applyFill="1" applyBorder="1" applyAlignment="1" applyProtection="1">
      <alignment/>
      <protection locked="0"/>
    </xf>
    <xf numFmtId="171" fontId="0" fillId="0" borderId="2" xfId="17" applyFont="1" applyBorder="1" applyAlignment="1" applyProtection="1">
      <alignment/>
      <protection/>
    </xf>
    <xf numFmtId="171" fontId="0" fillId="0" borderId="2" xfId="0" applyNumberFormat="1" applyBorder="1" applyAlignment="1">
      <alignment/>
    </xf>
    <xf numFmtId="171" fontId="5" fillId="0" borderId="2" xfId="17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3" xfId="0" applyNumberFormat="1" applyFont="1" applyBorder="1" applyAlignment="1" applyProtection="1">
      <alignment vertical="center"/>
      <protection/>
    </xf>
    <xf numFmtId="0" fontId="1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71" fontId="2" fillId="0" borderId="0" xfId="17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center"/>
      <protection/>
    </xf>
    <xf numFmtId="18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71" fontId="0" fillId="0" borderId="0" xfId="0" applyNumberFormat="1" applyFont="1" applyBorder="1" applyAlignment="1" applyProtection="1">
      <alignment horizontal="right"/>
      <protection/>
    </xf>
    <xf numFmtId="183" fontId="0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 horizontal="right"/>
      <protection/>
    </xf>
    <xf numFmtId="171" fontId="0" fillId="0" borderId="0" xfId="17" applyBorder="1" applyAlignment="1" applyProtection="1">
      <alignment/>
      <protection/>
    </xf>
    <xf numFmtId="171" fontId="0" fillId="0" borderId="1" xfId="0" applyNumberFormat="1" applyFont="1" applyBorder="1" applyAlignment="1" applyProtection="1">
      <alignment/>
      <protection/>
    </xf>
    <xf numFmtId="171" fontId="0" fillId="0" borderId="5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9" fontId="0" fillId="0" borderId="0" xfId="0" applyNumberFormat="1" applyFont="1" applyBorder="1" applyAlignment="1" applyProtection="1">
      <alignment/>
      <protection/>
    </xf>
    <xf numFmtId="9" fontId="0" fillId="0" borderId="1" xfId="0" applyNumberFormat="1" applyFont="1" applyBorder="1" applyAlignment="1" applyProtection="1">
      <alignment/>
      <protection/>
    </xf>
    <xf numFmtId="171" fontId="3" fillId="0" borderId="9" xfId="0" applyNumberFormat="1" applyFont="1" applyBorder="1" applyAlignment="1" applyProtection="1">
      <alignment/>
      <protection/>
    </xf>
    <xf numFmtId="171" fontId="3" fillId="0" borderId="0" xfId="17" applyFont="1" applyBorder="1" applyAlignment="1" applyProtection="1">
      <alignment horizontal="center"/>
      <protection/>
    </xf>
    <xf numFmtId="171" fontId="3" fillId="0" borderId="5" xfId="0" applyNumberFormat="1" applyFont="1" applyBorder="1" applyAlignment="1" applyProtection="1">
      <alignment/>
      <protection/>
    </xf>
    <xf numFmtId="9" fontId="0" fillId="0" borderId="2" xfId="0" applyNumberFormat="1" applyFont="1" applyBorder="1" applyAlignment="1" applyProtection="1">
      <alignment/>
      <protection/>
    </xf>
    <xf numFmtId="171" fontId="3" fillId="0" borderId="2" xfId="17" applyFont="1" applyBorder="1" applyAlignment="1" applyProtection="1">
      <alignment horizontal="center"/>
      <protection/>
    </xf>
    <xf numFmtId="171" fontId="0" fillId="0" borderId="2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71" fontId="1" fillId="0" borderId="28" xfId="0" applyNumberFormat="1" applyFont="1" applyBorder="1" applyAlignment="1" applyProtection="1">
      <alignment/>
      <protection/>
    </xf>
    <xf numFmtId="171" fontId="0" fillId="0" borderId="31" xfId="17" applyFont="1" applyBorder="1" applyAlignment="1">
      <alignment/>
    </xf>
    <xf numFmtId="0" fontId="0" fillId="0" borderId="31" xfId="0" applyBorder="1" applyAlignment="1">
      <alignment/>
    </xf>
    <xf numFmtId="197" fontId="0" fillId="0" borderId="31" xfId="0" applyNumberFormat="1" applyFill="1" applyBorder="1" applyAlignment="1">
      <alignment/>
    </xf>
    <xf numFmtId="201" fontId="0" fillId="0" borderId="0" xfId="17" applyNumberFormat="1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26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171" fontId="0" fillId="0" borderId="1" xfId="17" applyBorder="1" applyAlignment="1" applyProtection="1">
      <alignment/>
      <protection/>
    </xf>
    <xf numFmtId="171" fontId="0" fillId="0" borderId="32" xfId="0" applyNumberFormat="1" applyBorder="1" applyAlignment="1" applyProtection="1">
      <alignment/>
      <protection/>
    </xf>
    <xf numFmtId="171" fontId="0" fillId="0" borderId="31" xfId="0" applyNumberFormat="1" applyBorder="1" applyAlignment="1" applyProtection="1">
      <alignment/>
      <protection/>
    </xf>
    <xf numFmtId="10" fontId="0" fillId="0" borderId="1" xfId="21" applyNumberFormat="1" applyBorder="1" applyAlignment="1" applyProtection="1">
      <alignment/>
      <protection/>
    </xf>
    <xf numFmtId="171" fontId="0" fillId="0" borderId="0" xfId="17" applyFill="1" applyBorder="1" applyAlignment="1" applyProtection="1">
      <alignment/>
      <protection/>
    </xf>
    <xf numFmtId="171" fontId="0" fillId="0" borderId="1" xfId="17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88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9" fontId="2" fillId="0" borderId="0" xfId="2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81" fontId="2" fillId="0" borderId="0" xfId="17" applyNumberFormat="1" applyFont="1" applyBorder="1" applyAlignment="1" applyProtection="1">
      <alignment horizontal="right"/>
      <protection locked="0"/>
    </xf>
    <xf numFmtId="183" fontId="2" fillId="0" borderId="0" xfId="17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181" fontId="0" fillId="0" borderId="0" xfId="17" applyNumberFormat="1" applyBorder="1" applyAlignment="1" applyProtection="1">
      <alignment/>
      <protection/>
    </xf>
    <xf numFmtId="181" fontId="0" fillId="0" borderId="0" xfId="17" applyNumberFormat="1" applyFont="1" applyBorder="1" applyAlignment="1" applyProtection="1">
      <alignment horizontal="left"/>
      <protection/>
    </xf>
    <xf numFmtId="181" fontId="0" fillId="0" borderId="5" xfId="17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81" fontId="3" fillId="0" borderId="0" xfId="17" applyNumberFormat="1" applyFont="1" applyBorder="1" applyAlignment="1" applyProtection="1">
      <alignment horizontal="left"/>
      <protection/>
    </xf>
    <xf numFmtId="181" fontId="3" fillId="0" borderId="0" xfId="17" applyNumberFormat="1" applyFont="1" applyBorder="1" applyAlignment="1" applyProtection="1">
      <alignment/>
      <protection/>
    </xf>
    <xf numFmtId="183" fontId="2" fillId="0" borderId="0" xfId="17" applyNumberFormat="1" applyFont="1" applyBorder="1" applyAlignment="1" applyProtection="1">
      <alignment horizontal="right"/>
      <protection/>
    </xf>
    <xf numFmtId="183" fontId="0" fillId="0" borderId="0" xfId="17" applyNumberFormat="1" applyBorder="1" applyAlignment="1" applyProtection="1">
      <alignment/>
      <protection/>
    </xf>
    <xf numFmtId="183" fontId="0" fillId="0" borderId="1" xfId="17" applyNumberForma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83" fontId="0" fillId="0" borderId="0" xfId="17" applyNumberFormat="1" applyAlignment="1" applyProtection="1">
      <alignment/>
      <protection/>
    </xf>
    <xf numFmtId="195" fontId="0" fillId="0" borderId="0" xfId="21" applyNumberFormat="1" applyBorder="1" applyAlignment="1" applyProtection="1">
      <alignment/>
      <protection/>
    </xf>
    <xf numFmtId="171" fontId="0" fillId="0" borderId="5" xfId="17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95" fontId="0" fillId="0" borderId="0" xfId="21" applyNumberFormat="1" applyFont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81" fontId="0" fillId="0" borderId="5" xfId="17" applyNumberFormat="1" applyBorder="1" applyAlignment="1" applyProtection="1">
      <alignment/>
      <protection/>
    </xf>
    <xf numFmtId="181" fontId="0" fillId="0" borderId="1" xfId="17" applyNumberFormat="1" applyBorder="1" applyAlignment="1" applyProtection="1">
      <alignment/>
      <protection/>
    </xf>
    <xf numFmtId="181" fontId="0" fillId="0" borderId="9" xfId="17" applyNumberFormat="1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183" fontId="2" fillId="0" borderId="26" xfId="17" applyNumberFormat="1" applyFont="1" applyBorder="1" applyAlignment="1" applyProtection="1">
      <alignment horizontal="right"/>
      <protection/>
    </xf>
    <xf numFmtId="0" fontId="0" fillId="0" borderId="8" xfId="0" applyBorder="1" applyAlignment="1" applyProtection="1">
      <alignment horizontal="left"/>
      <protection/>
    </xf>
    <xf numFmtId="183" fontId="2" fillId="0" borderId="1" xfId="17" applyNumberFormat="1" applyFont="1" applyBorder="1" applyAlignment="1" applyProtection="1">
      <alignment horizontal="right"/>
      <protection/>
    </xf>
    <xf numFmtId="199" fontId="0" fillId="0" borderId="1" xfId="17" applyNumberFormat="1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83" fontId="0" fillId="0" borderId="1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0" fontId="1" fillId="0" borderId="3" xfId="0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195" fontId="2" fillId="0" borderId="0" xfId="21" applyNumberFormat="1" applyFont="1" applyBorder="1" applyAlignment="1" applyProtection="1">
      <alignment/>
      <protection locked="0"/>
    </xf>
    <xf numFmtId="195" fontId="2" fillId="0" borderId="0" xfId="21" applyNumberFormat="1" applyFont="1" applyFill="1" applyBorder="1" applyAlignment="1" applyProtection="1">
      <alignment/>
      <protection locked="0"/>
    </xf>
    <xf numFmtId="195" fontId="2" fillId="0" borderId="1" xfId="21" applyNumberFormat="1" applyFont="1" applyFill="1" applyBorder="1" applyAlignment="1" applyProtection="1">
      <alignment/>
      <protection locked="0"/>
    </xf>
    <xf numFmtId="171" fontId="2" fillId="0" borderId="0" xfId="17" applyFont="1" applyFill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183" fontId="2" fillId="0" borderId="0" xfId="0" applyNumberFormat="1" applyFont="1" applyFill="1" applyBorder="1" applyAlignment="1" applyProtection="1">
      <alignment/>
      <protection locked="0"/>
    </xf>
    <xf numFmtId="183" fontId="2" fillId="0" borderId="0" xfId="0" applyNumberFormat="1" applyFont="1" applyBorder="1" applyAlignment="1" applyProtection="1">
      <alignment/>
      <protection locked="0"/>
    </xf>
    <xf numFmtId="171" fontId="2" fillId="0" borderId="5" xfId="17" applyFont="1" applyBorder="1" applyAlignment="1" applyProtection="1">
      <alignment/>
      <protection locked="0"/>
    </xf>
    <xf numFmtId="171" fontId="2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/>
    </xf>
    <xf numFmtId="0" fontId="0" fillId="0" borderId="14" xfId="0" applyBorder="1" applyAlignment="1">
      <alignment horizontal="left"/>
    </xf>
    <xf numFmtId="0" fontId="0" fillId="0" borderId="2" xfId="0" applyBorder="1" applyAlignment="1">
      <alignment/>
    </xf>
    <xf numFmtId="171" fontId="0" fillId="0" borderId="30" xfId="0" applyNumberFormat="1" applyBorder="1" applyAlignment="1">
      <alignment vertical="center"/>
    </xf>
    <xf numFmtId="181" fontId="0" fillId="0" borderId="0" xfId="17" applyNumberFormat="1" applyFont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71" fontId="0" fillId="0" borderId="0" xfId="0" applyNumberFormat="1" applyBorder="1" applyAlignment="1" applyProtection="1">
      <alignment/>
      <protection locked="0"/>
    </xf>
    <xf numFmtId="171" fontId="0" fillId="0" borderId="16" xfId="17" applyFill="1" applyBorder="1" applyAlignment="1">
      <alignment/>
    </xf>
    <xf numFmtId="171" fontId="0" fillId="0" borderId="20" xfId="17" applyBorder="1" applyAlignment="1">
      <alignment/>
    </xf>
    <xf numFmtId="171" fontId="0" fillId="0" borderId="22" xfId="0" applyNumberFormat="1" applyBorder="1" applyAlignment="1">
      <alignment/>
    </xf>
    <xf numFmtId="0" fontId="0" fillId="0" borderId="1" xfId="0" applyFill="1" applyBorder="1" applyAlignment="1">
      <alignment horizontal="right"/>
    </xf>
    <xf numFmtId="171" fontId="0" fillId="0" borderId="1" xfId="17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1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88" fontId="0" fillId="0" borderId="0" xfId="0" applyNumberFormat="1" applyFill="1" applyBorder="1" applyAlignment="1">
      <alignment/>
    </xf>
    <xf numFmtId="0" fontId="0" fillId="0" borderId="33" xfId="0" applyBorder="1" applyAlignment="1">
      <alignment/>
    </xf>
    <xf numFmtId="188" fontId="0" fillId="0" borderId="1" xfId="0" applyNumberFormat="1" applyFill="1" applyBorder="1" applyAlignment="1">
      <alignment/>
    </xf>
    <xf numFmtId="171" fontId="3" fillId="0" borderId="5" xfId="17" applyFont="1" applyBorder="1" applyAlignment="1" applyProtection="1">
      <alignment/>
      <protection/>
    </xf>
    <xf numFmtId="171" fontId="3" fillId="0" borderId="9" xfId="17" applyFont="1" applyBorder="1" applyAlignment="1" applyProtection="1">
      <alignment/>
      <protection/>
    </xf>
    <xf numFmtId="171" fontId="0" fillId="0" borderId="14" xfId="0" applyNumberFormat="1" applyBorder="1" applyAlignment="1">
      <alignment/>
    </xf>
    <xf numFmtId="0" fontId="0" fillId="0" borderId="0" xfId="0" applyAlignment="1" applyProtection="1">
      <alignment horizontal="right"/>
      <protection/>
    </xf>
    <xf numFmtId="203" fontId="0" fillId="0" borderId="0" xfId="0" applyNumberFormat="1" applyAlignment="1" applyProtection="1">
      <alignment horizontal="left"/>
      <protection/>
    </xf>
    <xf numFmtId="203" fontId="0" fillId="0" borderId="0" xfId="0" applyNumberFormat="1" applyFont="1" applyAlignment="1" applyProtection="1">
      <alignment horizontal="left"/>
      <protection/>
    </xf>
    <xf numFmtId="203" fontId="0" fillId="0" borderId="0" xfId="0" applyNumberFormat="1" applyAlignment="1">
      <alignment/>
    </xf>
    <xf numFmtId="203" fontId="0" fillId="0" borderId="0" xfId="0" applyNumberFormat="1" applyAlignment="1">
      <alignment horizontal="left"/>
    </xf>
    <xf numFmtId="203" fontId="0" fillId="0" borderId="6" xfId="0" applyNumberFormat="1" applyBorder="1" applyAlignment="1" applyProtection="1">
      <alignment horizontal="left"/>
      <protection/>
    </xf>
    <xf numFmtId="203" fontId="2" fillId="0" borderId="0" xfId="0" applyNumberFormat="1" applyFont="1" applyAlignment="1">
      <alignment horizontal="left"/>
    </xf>
    <xf numFmtId="183" fontId="0" fillId="0" borderId="0" xfId="0" applyNumberFormat="1" applyFont="1" applyBorder="1" applyAlignment="1" applyProtection="1">
      <alignment/>
      <protection/>
    </xf>
    <xf numFmtId="171" fontId="0" fillId="0" borderId="26" xfId="17" applyFont="1" applyBorder="1" applyAlignment="1" applyProtection="1">
      <alignment/>
      <protection/>
    </xf>
    <xf numFmtId="203" fontId="2" fillId="0" borderId="0" xfId="0" applyNumberFormat="1" applyFont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203" fontId="0" fillId="0" borderId="0" xfId="0" applyNumberFormat="1" applyFill="1" applyBorder="1" applyAlignment="1">
      <alignment horizontal="left"/>
    </xf>
    <xf numFmtId="0" fontId="0" fillId="0" borderId="2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ont>
        <strike val="0"/>
        <color rgb="FFFF0000"/>
      </font>
      <border/>
    </dxf>
    <dxf>
      <font>
        <strike val="0"/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85" zoomScaleNormal="85" workbookViewId="0" topLeftCell="A60">
      <selection activeCell="D18" sqref="D18"/>
    </sheetView>
  </sheetViews>
  <sheetFormatPr defaultColWidth="11.421875" defaultRowHeight="12.75"/>
  <cols>
    <col min="1" max="11" width="10.7109375" style="0" customWidth="1"/>
    <col min="13" max="13" width="0" style="0" hidden="1" customWidth="1"/>
  </cols>
  <sheetData>
    <row r="1" spans="1:11" ht="12.75">
      <c r="A1" s="219" t="s">
        <v>465</v>
      </c>
      <c r="B1" s="220"/>
      <c r="C1" s="220"/>
      <c r="D1" s="220"/>
      <c r="E1" s="220"/>
      <c r="F1" s="220"/>
      <c r="G1" s="296"/>
      <c r="H1" s="220"/>
      <c r="I1" s="220"/>
      <c r="J1" s="369" t="s">
        <v>538</v>
      </c>
      <c r="K1" s="370">
        <f ca="1">TODAY()</f>
        <v>39069</v>
      </c>
    </row>
    <row r="2" spans="1:11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181" t="s">
        <v>20</v>
      </c>
      <c r="B3" s="223"/>
      <c r="C3" s="223"/>
      <c r="D3" s="223"/>
      <c r="E3" s="223"/>
      <c r="F3" s="223"/>
      <c r="G3" s="223"/>
      <c r="H3" s="223"/>
      <c r="I3" s="223"/>
      <c r="J3" s="223"/>
      <c r="K3" s="246"/>
    </row>
    <row r="4" spans="1:11" ht="12.75">
      <c r="A4" s="193" t="s">
        <v>466</v>
      </c>
      <c r="B4" s="227"/>
      <c r="C4" s="227"/>
      <c r="D4" s="297"/>
      <c r="E4" s="298"/>
      <c r="F4" s="227"/>
      <c r="G4" s="167" t="s">
        <v>467</v>
      </c>
      <c r="H4" s="227"/>
      <c r="I4" s="227"/>
      <c r="J4" s="227"/>
      <c r="K4" s="248"/>
    </row>
    <row r="5" spans="1:11" ht="12.75">
      <c r="A5" s="226" t="s">
        <v>515</v>
      </c>
      <c r="B5" s="227"/>
      <c r="C5" s="227"/>
      <c r="D5" s="227"/>
      <c r="E5" s="298"/>
      <c r="F5" s="227"/>
      <c r="G5" s="227" t="s">
        <v>515</v>
      </c>
      <c r="H5" s="227"/>
      <c r="I5" s="227"/>
      <c r="J5" s="227"/>
      <c r="K5" s="299"/>
    </row>
    <row r="6" spans="1:11" ht="12.75">
      <c r="A6" s="226"/>
      <c r="B6" s="300" t="s">
        <v>260</v>
      </c>
      <c r="C6" s="294">
        <v>7</v>
      </c>
      <c r="D6" s="301">
        <f>IF(C6&lt;Cria!I3/30.4,"Insuficiente","")</f>
      </c>
      <c r="E6" s="227"/>
      <c r="F6" s="227"/>
      <c r="G6" s="227"/>
      <c r="H6" s="300" t="s">
        <v>260</v>
      </c>
      <c r="I6" s="294">
        <v>4</v>
      </c>
      <c r="J6" s="302">
        <f>IF(C6+I6&gt;12,"Más de 12 meses","")</f>
      </c>
      <c r="K6" s="299"/>
    </row>
    <row r="7" spans="1:11" ht="12.75">
      <c r="A7" s="226"/>
      <c r="B7" s="300" t="s">
        <v>261</v>
      </c>
      <c r="C7" s="295">
        <v>30</v>
      </c>
      <c r="D7" s="302">
        <f>IF(C7&lt;30,"Requiere atención diaria","")</f>
      </c>
      <c r="E7" s="298"/>
      <c r="F7" s="227"/>
      <c r="G7" s="227"/>
      <c r="H7" s="300" t="s">
        <v>261</v>
      </c>
      <c r="I7" s="295">
        <v>24</v>
      </c>
      <c r="J7" s="297"/>
      <c r="K7" s="299"/>
    </row>
    <row r="8" spans="1:11" ht="12.75">
      <c r="A8" s="226"/>
      <c r="B8" s="300" t="s">
        <v>262</v>
      </c>
      <c r="C8" s="295">
        <v>7</v>
      </c>
      <c r="D8" s="304">
        <f>C6*C7*C8</f>
        <v>1470</v>
      </c>
      <c r="E8" s="298"/>
      <c r="F8" s="227"/>
      <c r="G8" s="227"/>
      <c r="H8" s="300" t="s">
        <v>262</v>
      </c>
      <c r="I8" s="295">
        <v>9</v>
      </c>
      <c r="J8" s="304">
        <f>I6*I7*I8</f>
        <v>864</v>
      </c>
      <c r="K8" s="299"/>
    </row>
    <row r="9" spans="1:11" ht="12.75">
      <c r="A9" s="231" t="s">
        <v>514</v>
      </c>
      <c r="B9" s="233"/>
      <c r="C9" s="233"/>
      <c r="D9" s="305">
        <f>SUMIF(Cria!$C$6:Cria!$C$71,"Mano de obra",Cria!$E$6:Cria!$E$71)*Cria!$I$2</f>
        <v>1443.5477142857144</v>
      </c>
      <c r="E9" s="306">
        <f>IF(D8&lt;D9,"Insuficiente","")</f>
      </c>
      <c r="F9" s="233"/>
      <c r="G9" s="233" t="s">
        <v>514</v>
      </c>
      <c r="H9" s="233"/>
      <c r="I9" s="233"/>
      <c r="J9" s="305">
        <f>SUMIF(Procesado!$C$5:$C$54,"Mano de obra",Procesado!$F$5:$F$54)</f>
        <v>777.9176470588235</v>
      </c>
      <c r="K9" s="307">
        <f>IF(J8&lt;J9,"Insuficiente","")</f>
      </c>
    </row>
    <row r="10" spans="1:11" ht="12.75">
      <c r="A10" s="227"/>
      <c r="B10" s="227"/>
      <c r="C10" s="227"/>
      <c r="D10" s="304"/>
      <c r="E10" s="168"/>
      <c r="F10" s="227"/>
      <c r="G10" s="227"/>
      <c r="H10" s="227"/>
      <c r="I10" s="227"/>
      <c r="J10" s="304"/>
      <c r="K10" s="168"/>
    </row>
    <row r="11" spans="1:11" ht="12.75">
      <c r="A11" s="220"/>
      <c r="B11" s="220"/>
      <c r="C11" s="220"/>
      <c r="D11" s="308"/>
      <c r="E11" s="220"/>
      <c r="F11" s="220"/>
      <c r="G11" s="220"/>
      <c r="H11" s="220"/>
      <c r="I11" s="220"/>
      <c r="J11" s="220"/>
      <c r="K11" s="220"/>
    </row>
    <row r="12" spans="1:11" ht="12.75">
      <c r="A12" s="220"/>
      <c r="B12" s="220"/>
      <c r="C12" s="220"/>
      <c r="D12" s="308"/>
      <c r="E12" s="220"/>
      <c r="F12" s="220"/>
      <c r="G12" s="220"/>
      <c r="H12" s="220"/>
      <c r="I12" s="220"/>
      <c r="J12" s="220"/>
      <c r="K12" s="220"/>
    </row>
    <row r="13" spans="1:11" ht="12.75">
      <c r="A13" s="181" t="s">
        <v>468</v>
      </c>
      <c r="B13" s="223"/>
      <c r="C13" s="223"/>
      <c r="D13" s="223"/>
      <c r="E13" s="246"/>
      <c r="F13" s="220"/>
      <c r="G13" s="181" t="s">
        <v>469</v>
      </c>
      <c r="H13" s="223"/>
      <c r="I13" s="223"/>
      <c r="J13" s="223"/>
      <c r="K13" s="246"/>
    </row>
    <row r="14" spans="1:11" ht="12.75">
      <c r="A14" s="226">
        <f>IF($G$1="Incubación telainos","Espacio en cámara de cría","")</f>
      </c>
      <c r="B14" s="227"/>
      <c r="C14" s="227"/>
      <c r="D14" s="227" t="s">
        <v>215</v>
      </c>
      <c r="E14" s="248"/>
      <c r="F14" s="220"/>
      <c r="G14" s="226" t="s">
        <v>360</v>
      </c>
      <c r="H14" s="227"/>
      <c r="I14" s="227"/>
      <c r="J14" s="309">
        <f>'Requer.'!$Q$30</f>
        <v>0.4</v>
      </c>
      <c r="K14" s="310"/>
    </row>
    <row r="15" spans="1:11" ht="12.75">
      <c r="A15" s="226" t="s">
        <v>282</v>
      </c>
      <c r="B15" s="227"/>
      <c r="C15" s="227"/>
      <c r="D15" s="297">
        <f>Capital!B15/'Requer.'!N16</f>
        <v>6</v>
      </c>
      <c r="E15" s="311">
        <f>IF(D15&lt;Cria!$E$2,"Insuficiente","")</f>
      </c>
      <c r="F15" s="220"/>
      <c r="G15" s="226" t="s">
        <v>419</v>
      </c>
      <c r="H15" s="227"/>
      <c r="I15" s="227"/>
      <c r="J15" s="333">
        <v>0.4</v>
      </c>
      <c r="K15" s="366">
        <f>IF(J15&gt;1,"Error","")</f>
      </c>
    </row>
    <row r="16" spans="1:11" ht="12.75">
      <c r="A16" s="226" t="s">
        <v>283</v>
      </c>
      <c r="B16" s="227"/>
      <c r="C16" s="227"/>
      <c r="D16" s="297">
        <f>Capital!B17/'Requer.'!N17</f>
        <v>6</v>
      </c>
      <c r="E16" s="311">
        <f>IF(D16&lt;Cria!$E$2,"Insuficiente","")</f>
      </c>
      <c r="F16" s="220"/>
      <c r="G16" s="226" t="s">
        <v>431</v>
      </c>
      <c r="H16" s="227"/>
      <c r="I16" s="227"/>
      <c r="J16" s="333">
        <v>0.833</v>
      </c>
      <c r="K16" s="366">
        <f>IF(J16&gt;1,"Error","")</f>
      </c>
    </row>
    <row r="17" spans="1:11" ht="12.75">
      <c r="A17" s="226" t="s">
        <v>222</v>
      </c>
      <c r="B17" s="227"/>
      <c r="C17" s="227"/>
      <c r="D17" s="297">
        <f>Capital!B18/'Requer.'!N18</f>
        <v>6.24</v>
      </c>
      <c r="E17" s="311">
        <f>IF(D17&lt;Cria!$E$2,"Insuficiente","")</f>
      </c>
      <c r="F17" s="220"/>
      <c r="G17" s="226" t="s">
        <v>432</v>
      </c>
      <c r="H17" s="227"/>
      <c r="I17" s="227"/>
      <c r="J17" s="312">
        <f>1-J16</f>
        <v>0.16700000000000004</v>
      </c>
      <c r="K17" s="310"/>
    </row>
    <row r="18" spans="1:11" ht="12.75">
      <c r="A18" s="226" t="s">
        <v>285</v>
      </c>
      <c r="B18" s="227"/>
      <c r="C18" s="227"/>
      <c r="D18" s="297">
        <f>INT(Capital!B7*Implantación!I5*Implantación!I6/100/'Requer.'!P16)/Cria!I2</f>
        <v>6.333333333333333</v>
      </c>
      <c r="E18" s="311">
        <f>IF(D18&lt;Cria!E2,"Insuficiente","")</f>
      </c>
      <c r="F18" s="220"/>
      <c r="G18" s="313" t="s">
        <v>428</v>
      </c>
      <c r="H18" s="314"/>
      <c r="I18" s="314"/>
      <c r="J18" s="334">
        <v>1</v>
      </c>
      <c r="K18" s="366">
        <f>IF(J18&gt;1,"Error","")</f>
      </c>
    </row>
    <row r="19" spans="1:11" ht="12.75">
      <c r="A19" s="226"/>
      <c r="B19" s="227"/>
      <c r="C19" s="227"/>
      <c r="D19" s="227"/>
      <c r="E19" s="248"/>
      <c r="F19" s="220"/>
      <c r="G19" s="315" t="s">
        <v>429</v>
      </c>
      <c r="H19" s="316"/>
      <c r="I19" s="316"/>
      <c r="J19" s="335">
        <v>1</v>
      </c>
      <c r="K19" s="367">
        <f>IF(J19&gt;1,"Error","")</f>
      </c>
    </row>
    <row r="20" spans="1:17" ht="12.75">
      <c r="A20" s="226" t="s">
        <v>220</v>
      </c>
      <c r="B20" s="227"/>
      <c r="C20" s="227"/>
      <c r="D20" s="227"/>
      <c r="E20" s="317"/>
      <c r="F20" s="220"/>
      <c r="G20" s="220"/>
      <c r="H20" s="220"/>
      <c r="I20" s="220"/>
      <c r="J20" s="220"/>
      <c r="K20" s="220"/>
      <c r="M20" s="6"/>
      <c r="N20" s="6"/>
      <c r="O20" s="6"/>
      <c r="P20" s="6"/>
      <c r="Q20" s="120"/>
    </row>
    <row r="21" spans="1:11" ht="12.75">
      <c r="A21" s="226" t="s">
        <v>221</v>
      </c>
      <c r="B21" s="227"/>
      <c r="C21" s="227"/>
      <c r="D21" s="297">
        <f>Capital!B15</f>
        <v>30</v>
      </c>
      <c r="E21" s="317" t="s">
        <v>79</v>
      </c>
      <c r="F21" s="220"/>
      <c r="G21" s="181" t="str">
        <f>IF($J$24&gt;0,"Devanadora mecánica de capullos","Devanadora de accionamiento manual")</f>
        <v>Devanadora de accionamiento manual</v>
      </c>
      <c r="H21" s="223"/>
      <c r="I21" s="95"/>
      <c r="J21" s="223"/>
      <c r="K21" s="246"/>
    </row>
    <row r="22" spans="1:11" ht="12.75">
      <c r="A22" s="226" t="s">
        <v>217</v>
      </c>
      <c r="B22" s="227"/>
      <c r="C22" s="227"/>
      <c r="D22" s="297">
        <f>Capital!B17</f>
        <v>150</v>
      </c>
      <c r="E22" s="317" t="s">
        <v>79</v>
      </c>
      <c r="F22" s="220"/>
      <c r="G22" s="185" t="s">
        <v>533</v>
      </c>
      <c r="H22" s="227"/>
      <c r="I22" s="6"/>
      <c r="J22" s="21">
        <v>1.7</v>
      </c>
      <c r="K22" s="248" t="s">
        <v>532</v>
      </c>
    </row>
    <row r="23" spans="1:11" ht="12.75">
      <c r="A23" s="226" t="s">
        <v>318</v>
      </c>
      <c r="B23" s="227"/>
      <c r="C23" s="227"/>
      <c r="D23" s="318">
        <f>0.25*SUM(D21:D22)</f>
        <v>45</v>
      </c>
      <c r="E23" s="317" t="s">
        <v>79</v>
      </c>
      <c r="F23" s="220"/>
      <c r="G23" s="226" t="s">
        <v>534</v>
      </c>
      <c r="H23" s="227"/>
      <c r="I23" s="6"/>
      <c r="J23" s="21">
        <v>1</v>
      </c>
      <c r="K23" s="248" t="s">
        <v>393</v>
      </c>
    </row>
    <row r="24" spans="1:11" ht="12.75">
      <c r="A24" s="231" t="s">
        <v>284</v>
      </c>
      <c r="B24" s="306">
        <f>IF(Capital!B9&lt;D24,"Cuenta Capital: "&amp;Capital!B9&amp;" m2","")</f>
      </c>
      <c r="C24" s="233"/>
      <c r="D24" s="318">
        <f>SUM(D21:D23)</f>
        <v>225</v>
      </c>
      <c r="E24" s="319" t="s">
        <v>79</v>
      </c>
      <c r="F24" s="220"/>
      <c r="G24" s="231" t="s">
        <v>398</v>
      </c>
      <c r="H24" s="233"/>
      <c r="I24" s="4"/>
      <c r="J24" s="320">
        <v>0</v>
      </c>
      <c r="K24" s="235" t="s">
        <v>399</v>
      </c>
    </row>
    <row r="25" spans="1:6" ht="12.75">
      <c r="A25" s="227"/>
      <c r="B25" s="227"/>
      <c r="C25" s="227"/>
      <c r="D25" s="297"/>
      <c r="E25" s="298"/>
      <c r="F25" s="220"/>
    </row>
    <row r="26" spans="1:6" ht="12.75">
      <c r="A26" s="227"/>
      <c r="B26" s="227"/>
      <c r="C26" s="227"/>
      <c r="D26" s="297"/>
      <c r="E26" s="298"/>
      <c r="F26" s="220"/>
    </row>
    <row r="27" spans="1:11" ht="12.75">
      <c r="A27" s="227"/>
      <c r="B27" s="227"/>
      <c r="C27" s="227"/>
      <c r="D27" s="297"/>
      <c r="E27" s="298"/>
      <c r="F27" s="220"/>
      <c r="G27" s="220"/>
      <c r="H27" s="220"/>
      <c r="I27" s="220"/>
      <c r="J27" s="220"/>
      <c r="K27" s="220"/>
    </row>
    <row r="28" spans="1:11" ht="12.75">
      <c r="A28" s="181" t="s">
        <v>89</v>
      </c>
      <c r="B28" s="223"/>
      <c r="C28" s="223"/>
      <c r="D28" s="286">
        <v>2000</v>
      </c>
      <c r="E28" s="246" t="s">
        <v>302</v>
      </c>
      <c r="F28" s="220"/>
      <c r="G28" s="181" t="s">
        <v>498</v>
      </c>
      <c r="H28" s="223"/>
      <c r="I28" s="223"/>
      <c r="J28" s="223"/>
      <c r="K28" s="246"/>
    </row>
    <row r="29" spans="1:11" ht="12.75">
      <c r="A29" s="226" t="s">
        <v>303</v>
      </c>
      <c r="B29" s="227"/>
      <c r="C29" s="227"/>
      <c r="D29" s="12">
        <v>20</v>
      </c>
      <c r="E29" s="248" t="s">
        <v>64</v>
      </c>
      <c r="F29" s="220"/>
      <c r="G29" s="321" t="s">
        <v>447</v>
      </c>
      <c r="H29" s="322"/>
      <c r="I29" s="223"/>
      <c r="J29" s="286">
        <v>25</v>
      </c>
      <c r="K29" s="246" t="s">
        <v>340</v>
      </c>
    </row>
    <row r="30" spans="1:11" ht="12.75">
      <c r="A30" s="323" t="s">
        <v>315</v>
      </c>
      <c r="B30" s="324"/>
      <c r="C30" s="233"/>
      <c r="D30" s="325">
        <f>D29/367000/0.5</f>
        <v>0.00010899182561307902</v>
      </c>
      <c r="E30" s="235" t="s">
        <v>316</v>
      </c>
      <c r="F30" s="220"/>
      <c r="G30" s="326" t="s">
        <v>500</v>
      </c>
      <c r="H30" s="303"/>
      <c r="I30" s="227"/>
      <c r="J30" s="12">
        <v>1</v>
      </c>
      <c r="K30" s="248" t="s">
        <v>292</v>
      </c>
    </row>
    <row r="31" spans="1:11" ht="12.75">
      <c r="A31" s="220"/>
      <c r="B31" s="220"/>
      <c r="C31" s="220"/>
      <c r="D31" s="220"/>
      <c r="E31" s="220"/>
      <c r="F31" s="220"/>
      <c r="G31" s="231" t="str">
        <f>"Días ilumin. galpón "&amp;IF(J31&lt;Cria!I3,"(requiere "&amp;Cria!I3&amp;" días)","")</f>
        <v>Días ilumin. galpón (requiere 204 días)</v>
      </c>
      <c r="H31" s="324"/>
      <c r="I31" s="233"/>
      <c r="J31" s="15">
        <v>192</v>
      </c>
      <c r="K31" s="235" t="s">
        <v>42</v>
      </c>
    </row>
    <row r="32" spans="1:11" ht="12.75">
      <c r="A32" s="338" t="s">
        <v>444</v>
      </c>
      <c r="B32" s="223"/>
      <c r="C32" s="223"/>
      <c r="D32" s="327">
        <v>7</v>
      </c>
      <c r="E32" s="246" t="s">
        <v>402</v>
      </c>
      <c r="F32" s="220"/>
      <c r="G32" s="326" t="s">
        <v>381</v>
      </c>
      <c r="H32" s="328"/>
      <c r="I32" s="227"/>
      <c r="J32" s="12">
        <v>25</v>
      </c>
      <c r="K32" s="248" t="s">
        <v>340</v>
      </c>
    </row>
    <row r="33" spans="1:11" ht="12.75">
      <c r="A33" s="226" t="s">
        <v>445</v>
      </c>
      <c r="B33" s="227"/>
      <c r="C33" s="227"/>
      <c r="D33" s="21">
        <v>1</v>
      </c>
      <c r="E33" s="248" t="s">
        <v>393</v>
      </c>
      <c r="F33" s="220"/>
      <c r="G33" s="326" t="s">
        <v>501</v>
      </c>
      <c r="H33" s="328"/>
      <c r="I33" s="227"/>
      <c r="J33" s="12">
        <v>1</v>
      </c>
      <c r="K33" s="248" t="s">
        <v>292</v>
      </c>
    </row>
    <row r="34" spans="1:11" ht="12.75">
      <c r="A34" s="231">
        <f>IF($A$32="Desborradora","Potencia del motor","")</f>
      </c>
      <c r="B34" s="233"/>
      <c r="C34" s="233"/>
      <c r="D34" s="320">
        <v>0.2</v>
      </c>
      <c r="E34" s="235">
        <f>IF($A$32="Desborradora","kW","")</f>
      </c>
      <c r="F34" s="220"/>
      <c r="G34" s="231" t="s">
        <v>499</v>
      </c>
      <c r="H34" s="233"/>
      <c r="I34" s="233"/>
      <c r="J34" s="329">
        <f>J9/8</f>
        <v>97.23970588235294</v>
      </c>
      <c r="K34" s="235" t="s">
        <v>42</v>
      </c>
    </row>
    <row r="35" spans="1:11" ht="12.75">
      <c r="A35" s="227"/>
      <c r="B35" s="227"/>
      <c r="C35" s="227"/>
      <c r="D35" s="21"/>
      <c r="E35" s="227"/>
      <c r="F35" s="220"/>
      <c r="G35" s="227"/>
      <c r="H35" s="227"/>
      <c r="I35" s="227"/>
      <c r="J35" s="330"/>
      <c r="K35" s="227"/>
    </row>
    <row r="36" spans="1:11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</row>
    <row r="37" spans="1:11" ht="12.7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  <row r="38" spans="1:13" ht="12.75">
      <c r="A38" s="331" t="s">
        <v>339</v>
      </c>
      <c r="B38" s="224"/>
      <c r="C38" s="223"/>
      <c r="D38" s="240"/>
      <c r="E38" s="225"/>
      <c r="F38" s="220"/>
      <c r="G38" s="331" t="s">
        <v>502</v>
      </c>
      <c r="H38" s="223"/>
      <c r="I38" s="223"/>
      <c r="J38" s="223"/>
      <c r="K38" s="246"/>
      <c r="M38" t="s">
        <v>11</v>
      </c>
    </row>
    <row r="39" spans="1:13" ht="12.75">
      <c r="A39" s="226" t="s">
        <v>29</v>
      </c>
      <c r="B39" s="227"/>
      <c r="C39" s="227"/>
      <c r="D39" s="13">
        <v>5</v>
      </c>
      <c r="E39" s="229" t="s">
        <v>4</v>
      </c>
      <c r="F39" s="220"/>
      <c r="G39" s="226" t="str">
        <f>IF(Cria!$G$1="Incubación","Telaino","Compra caja gusanos")</f>
        <v>Compra caja gusanos</v>
      </c>
      <c r="H39" s="227"/>
      <c r="I39" s="227"/>
      <c r="J39" s="336">
        <v>75</v>
      </c>
      <c r="K39" s="248" t="str">
        <f>IF($G$1="Incubación","$/telaino","$/caja")</f>
        <v>$/caja</v>
      </c>
      <c r="M39" t="s">
        <v>460</v>
      </c>
    </row>
    <row r="40" spans="1:11" ht="12.75">
      <c r="A40" s="226" t="s">
        <v>65</v>
      </c>
      <c r="B40" s="227"/>
      <c r="C40" s="227"/>
      <c r="D40" s="13">
        <v>2</v>
      </c>
      <c r="E40" s="229" t="s">
        <v>4</v>
      </c>
      <c r="F40" s="220"/>
      <c r="G40" s="226" t="s">
        <v>274</v>
      </c>
      <c r="H40" s="227"/>
      <c r="I40" s="227"/>
      <c r="J40" s="13">
        <v>3.5</v>
      </c>
      <c r="K40" s="248" t="s">
        <v>268</v>
      </c>
    </row>
    <row r="41" spans="1:13" ht="12.75">
      <c r="A41" s="332" t="s">
        <v>0</v>
      </c>
      <c r="B41" s="228"/>
      <c r="C41" s="227"/>
      <c r="D41" s="164">
        <v>18</v>
      </c>
      <c r="E41" s="229" t="s">
        <v>1</v>
      </c>
      <c r="F41" s="220"/>
      <c r="G41" s="226" t="s">
        <v>275</v>
      </c>
      <c r="H41" s="227"/>
      <c r="I41" s="227"/>
      <c r="J41" s="13">
        <v>4.5</v>
      </c>
      <c r="K41" s="248" t="s">
        <v>10</v>
      </c>
      <c r="M41" s="2" t="s">
        <v>304</v>
      </c>
    </row>
    <row r="42" spans="1:13" ht="12.75">
      <c r="A42" s="42" t="s">
        <v>363</v>
      </c>
      <c r="B42" s="6"/>
      <c r="C42" s="6"/>
      <c r="D42" s="13">
        <v>1000</v>
      </c>
      <c r="E42" s="43" t="s">
        <v>111</v>
      </c>
      <c r="F42" s="220"/>
      <c r="G42" s="226" t="s">
        <v>276</v>
      </c>
      <c r="H42" s="227"/>
      <c r="I42" s="227"/>
      <c r="J42" s="13">
        <v>3</v>
      </c>
      <c r="K42" s="248" t="s">
        <v>278</v>
      </c>
      <c r="M42" s="2" t="s">
        <v>450</v>
      </c>
    </row>
    <row r="43" spans="1:13" ht="12.75">
      <c r="A43" s="42" t="s">
        <v>375</v>
      </c>
      <c r="B43" s="6"/>
      <c r="C43" s="6"/>
      <c r="D43" s="13">
        <v>100</v>
      </c>
      <c r="E43" s="43" t="s">
        <v>111</v>
      </c>
      <c r="F43" s="220"/>
      <c r="G43" s="226" t="s">
        <v>277</v>
      </c>
      <c r="H43" s="227"/>
      <c r="I43" s="227"/>
      <c r="J43" s="13">
        <v>0.05</v>
      </c>
      <c r="K43" s="248" t="s">
        <v>279</v>
      </c>
      <c r="M43" s="2" t="s">
        <v>451</v>
      </c>
    </row>
    <row r="44" spans="1:13" ht="12.75">
      <c r="A44" s="80" t="s">
        <v>376</v>
      </c>
      <c r="B44" s="4"/>
      <c r="C44" s="4"/>
      <c r="D44" s="19">
        <v>240</v>
      </c>
      <c r="E44" s="81" t="s">
        <v>111</v>
      </c>
      <c r="F44" s="220"/>
      <c r="G44" s="337" t="s">
        <v>453</v>
      </c>
      <c r="H44" s="227"/>
      <c r="I44" s="227"/>
      <c r="J44" s="13">
        <v>2.7</v>
      </c>
      <c r="K44" s="248" t="str">
        <f>"$/"&amp;RIGHT(VLOOKUP(G44,'Requer.'!S41:U49,3,FALSE),2)</f>
        <v>$/kg</v>
      </c>
      <c r="M44" s="2" t="s">
        <v>452</v>
      </c>
    </row>
    <row r="45" spans="6:13" ht="12.75">
      <c r="F45" s="220"/>
      <c r="G45" s="226" t="s">
        <v>280</v>
      </c>
      <c r="H45" s="227"/>
      <c r="I45" s="227"/>
      <c r="J45" s="13">
        <v>0.25</v>
      </c>
      <c r="K45" s="248" t="s">
        <v>281</v>
      </c>
      <c r="M45" s="2" t="s">
        <v>453</v>
      </c>
    </row>
    <row r="46" spans="6:13" ht="12.75">
      <c r="F46" s="220"/>
      <c r="G46" s="226" t="s">
        <v>304</v>
      </c>
      <c r="H46" s="227"/>
      <c r="I46" s="227"/>
      <c r="J46" s="13">
        <v>1.5</v>
      </c>
      <c r="K46" s="248" t="s">
        <v>268</v>
      </c>
      <c r="M46" s="2" t="s">
        <v>454</v>
      </c>
    </row>
    <row r="47" spans="1:13" ht="12.75">
      <c r="A47" s="331" t="s">
        <v>539</v>
      </c>
      <c r="B47" s="95"/>
      <c r="C47" s="95"/>
      <c r="D47" s="95"/>
      <c r="E47" s="28"/>
      <c r="F47" s="220"/>
      <c r="G47" s="231" t="s">
        <v>364</v>
      </c>
      <c r="H47" s="233"/>
      <c r="I47" s="233"/>
      <c r="J47" s="19">
        <v>2</v>
      </c>
      <c r="K47" s="235" t="s">
        <v>278</v>
      </c>
      <c r="M47" s="2" t="s">
        <v>455</v>
      </c>
    </row>
    <row r="48" spans="1:13" ht="12.75">
      <c r="A48" s="247" t="s">
        <v>31</v>
      </c>
      <c r="B48" s="236"/>
      <c r="C48" s="227"/>
      <c r="D48" s="164">
        <v>25</v>
      </c>
      <c r="E48" s="229" t="s">
        <v>4</v>
      </c>
      <c r="F48" s="220"/>
      <c r="G48" s="220"/>
      <c r="H48" s="220"/>
      <c r="I48" s="220"/>
      <c r="J48" s="220"/>
      <c r="K48" s="220"/>
      <c r="M48" s="2" t="s">
        <v>456</v>
      </c>
    </row>
    <row r="49" spans="1:13" ht="12.75">
      <c r="A49" s="247" t="s">
        <v>35</v>
      </c>
      <c r="B49" s="236"/>
      <c r="C49" s="227"/>
      <c r="D49" s="164">
        <v>8</v>
      </c>
      <c r="E49" s="229" t="s">
        <v>4</v>
      </c>
      <c r="F49" s="220"/>
      <c r="G49" s="331" t="s">
        <v>503</v>
      </c>
      <c r="H49" s="224"/>
      <c r="I49" s="223"/>
      <c r="J49" s="223"/>
      <c r="K49" s="246"/>
      <c r="M49" s="2" t="s">
        <v>457</v>
      </c>
    </row>
    <row r="50" spans="1:11" ht="12.75">
      <c r="A50" s="226" t="s">
        <v>269</v>
      </c>
      <c r="B50" s="227"/>
      <c r="C50" s="227"/>
      <c r="D50" s="164">
        <v>8</v>
      </c>
      <c r="E50" s="229" t="s">
        <v>4</v>
      </c>
      <c r="F50" s="220"/>
      <c r="G50" s="226" t="s">
        <v>355</v>
      </c>
      <c r="H50" s="227"/>
      <c r="I50" s="227"/>
      <c r="J50" s="13">
        <v>1</v>
      </c>
      <c r="K50" s="248" t="s">
        <v>359</v>
      </c>
    </row>
    <row r="51" spans="1:13" ht="12.75">
      <c r="A51" s="226" t="s">
        <v>267</v>
      </c>
      <c r="B51" s="227"/>
      <c r="C51" s="227"/>
      <c r="D51" s="164">
        <v>11</v>
      </c>
      <c r="E51" s="248" t="s">
        <v>268</v>
      </c>
      <c r="F51" s="220"/>
      <c r="G51" s="226" t="s">
        <v>356</v>
      </c>
      <c r="H51" s="227"/>
      <c r="I51" s="227"/>
      <c r="J51" s="13">
        <v>0.7</v>
      </c>
      <c r="K51" s="248" t="s">
        <v>10</v>
      </c>
      <c r="M51" t="s">
        <v>443</v>
      </c>
    </row>
    <row r="52" spans="1:13" ht="12.75">
      <c r="A52" s="339" t="s">
        <v>11</v>
      </c>
      <c r="B52" s="236"/>
      <c r="C52" s="227"/>
      <c r="D52" s="164">
        <v>0.2</v>
      </c>
      <c r="E52" s="229" t="str">
        <f>IF($A$52="Plantines","$/plantín","$/estaca")</f>
        <v>$/plantín</v>
      </c>
      <c r="F52" s="220"/>
      <c r="G52" s="226" t="s">
        <v>357</v>
      </c>
      <c r="H52" s="227"/>
      <c r="I52" s="227"/>
      <c r="J52" s="13">
        <v>1</v>
      </c>
      <c r="K52" s="248" t="s">
        <v>10</v>
      </c>
      <c r="M52" t="s">
        <v>444</v>
      </c>
    </row>
    <row r="53" spans="1:11" ht="12.75">
      <c r="A53" s="247" t="s">
        <v>9</v>
      </c>
      <c r="B53" s="236"/>
      <c r="C53" s="227"/>
      <c r="D53" s="164">
        <v>10</v>
      </c>
      <c r="E53" s="229" t="s">
        <v>10</v>
      </c>
      <c r="F53" s="220"/>
      <c r="G53" s="226" t="s">
        <v>411</v>
      </c>
      <c r="H53" s="227"/>
      <c r="I53" s="227"/>
      <c r="J53" s="13">
        <v>0.1</v>
      </c>
      <c r="K53" s="248" t="s">
        <v>278</v>
      </c>
    </row>
    <row r="54" spans="1:11" ht="12.75">
      <c r="A54" s="231" t="s">
        <v>67</v>
      </c>
      <c r="B54" s="233"/>
      <c r="C54" s="233"/>
      <c r="D54" s="19">
        <v>2</v>
      </c>
      <c r="E54" s="235" t="s">
        <v>10</v>
      </c>
      <c r="F54" s="220"/>
      <c r="G54" s="231" t="s">
        <v>409</v>
      </c>
      <c r="H54" s="233"/>
      <c r="I54" s="233"/>
      <c r="J54" s="19">
        <v>7</v>
      </c>
      <c r="K54" s="235" t="s">
        <v>407</v>
      </c>
    </row>
    <row r="56" spans="1:11" ht="12.75">
      <c r="A56" s="220" t="s">
        <v>542</v>
      </c>
      <c r="G56" s="181" t="s">
        <v>540</v>
      </c>
      <c r="H56" s="223"/>
      <c r="I56" s="223"/>
      <c r="J56" s="223"/>
      <c r="K56" s="246"/>
    </row>
    <row r="57" spans="1:11" ht="12.75">
      <c r="A57" s="220" t="s">
        <v>541</v>
      </c>
      <c r="G57" s="42" t="s">
        <v>254</v>
      </c>
      <c r="H57" s="6"/>
      <c r="I57" s="6"/>
      <c r="J57" s="13">
        <v>18</v>
      </c>
      <c r="K57" s="248" t="s">
        <v>10</v>
      </c>
    </row>
    <row r="58" spans="7:11" ht="12.75">
      <c r="G58" s="42" t="s">
        <v>416</v>
      </c>
      <c r="H58" s="6"/>
      <c r="I58" s="6"/>
      <c r="J58" s="13">
        <v>5</v>
      </c>
      <c r="K58" s="248" t="s">
        <v>10</v>
      </c>
    </row>
    <row r="59" spans="1:11" ht="12.75">
      <c r="A59" s="220" t="s">
        <v>544</v>
      </c>
      <c r="G59" s="42" t="s">
        <v>430</v>
      </c>
      <c r="H59" s="6"/>
      <c r="I59" s="6"/>
      <c r="J59" s="13">
        <v>90</v>
      </c>
      <c r="K59" s="248" t="s">
        <v>10</v>
      </c>
    </row>
    <row r="60" spans="1:11" ht="12.75">
      <c r="A60" s="220" t="s">
        <v>543</v>
      </c>
      <c r="G60" s="80" t="s">
        <v>434</v>
      </c>
      <c r="H60" s="4"/>
      <c r="I60" s="4"/>
      <c r="J60" s="19">
        <v>70</v>
      </c>
      <c r="K60" s="235" t="s">
        <v>10</v>
      </c>
    </row>
    <row r="61" spans="1:5" ht="12.75">
      <c r="A61" s="220"/>
      <c r="B61" s="220"/>
      <c r="C61" s="220"/>
      <c r="D61" s="220"/>
      <c r="E61" s="220"/>
    </row>
    <row r="62" spans="2:11" ht="12.75">
      <c r="B62" s="220"/>
      <c r="C62" s="220"/>
      <c r="D62" s="220"/>
      <c r="E62" s="220"/>
      <c r="J62" s="3" t="s">
        <v>545</v>
      </c>
      <c r="K62" s="375">
        <v>39052</v>
      </c>
    </row>
    <row r="63" spans="1:5" ht="12.75">
      <c r="A63" s="220"/>
      <c r="B63" s="220"/>
      <c r="C63" s="220"/>
      <c r="D63" s="220"/>
      <c r="E63" s="220"/>
    </row>
    <row r="66" spans="1:5" ht="12.75">
      <c r="A66" s="220"/>
      <c r="B66" s="220"/>
      <c r="C66" s="220"/>
      <c r="D66" s="220"/>
      <c r="E66" s="220"/>
    </row>
    <row r="67" spans="2:5" ht="12.75">
      <c r="B67" s="220"/>
      <c r="C67" s="220"/>
      <c r="D67" s="220"/>
      <c r="E67" s="220"/>
    </row>
  </sheetData>
  <sheetProtection sheet="1" objects="1" scenarios="1"/>
  <conditionalFormatting sqref="D35">
    <cfRule type="expression" priority="1" dxfId="0" stopIfTrue="1">
      <formula>"SI($G$20=""Desborrado manual"")"</formula>
    </cfRule>
  </conditionalFormatting>
  <conditionalFormatting sqref="D34">
    <cfRule type="expression" priority="2" dxfId="1" stopIfTrue="1">
      <formula>$A$32="Desborrado manual"</formula>
    </cfRule>
  </conditionalFormatting>
  <dataValidations count="4">
    <dataValidation type="list" allowBlank="1" showInputMessage="1" showErrorMessage="1" sqref="G1">
      <formula1>$F$42:$F$43</formula1>
    </dataValidation>
    <dataValidation type="list" allowBlank="1" showInputMessage="1" showErrorMessage="1" sqref="G44">
      <formula1>$M$41:$M$49</formula1>
    </dataValidation>
    <dataValidation type="list" allowBlank="1" showInputMessage="1" showErrorMessage="1" sqref="A52">
      <formula1>$M$38:$M$39</formula1>
    </dataValidation>
    <dataValidation type="list" allowBlank="1" showInputMessage="1" showErrorMessage="1" sqref="A32">
      <formula1>$M$51:$M$52</formula1>
    </dataValidation>
  </dataValidations>
  <printOptions/>
  <pageMargins left="1.1811023622047245" right="0.7874015748031497" top="0.984251968503937" bottom="0.7874015748031497" header="0" footer="0"/>
  <pageSetup fitToHeight="1" fitToWidth="1" horizontalDpi="360" verticalDpi="36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90" zoomScaleNormal="90" workbookViewId="0" topLeftCell="A1">
      <selection activeCell="I7" sqref="I7"/>
    </sheetView>
  </sheetViews>
  <sheetFormatPr defaultColWidth="11.421875" defaultRowHeight="12.75"/>
  <cols>
    <col min="1" max="1" width="7.00390625" style="0" customWidth="1"/>
    <col min="2" max="2" width="3.7109375" style="0" customWidth="1"/>
    <col min="3" max="3" width="7.7109375" style="0" customWidth="1"/>
    <col min="4" max="4" width="15.7109375" style="0" customWidth="1"/>
    <col min="5" max="5" width="12.7109375" style="0" customWidth="1"/>
    <col min="6" max="6" width="11.7109375" style="0" customWidth="1"/>
    <col min="7" max="7" width="10.140625" style="0" customWidth="1"/>
    <col min="11" max="11" width="9.7109375" style="0" customWidth="1"/>
  </cols>
  <sheetData>
    <row r="1" spans="1:10" ht="12.75">
      <c r="A1" s="219" t="s">
        <v>477</v>
      </c>
      <c r="B1" s="220"/>
      <c r="C1" s="169"/>
      <c r="D1" s="169"/>
      <c r="E1" s="169"/>
      <c r="F1" s="169"/>
      <c r="G1" s="169"/>
      <c r="H1" s="169"/>
      <c r="I1" s="213" t="s">
        <v>538</v>
      </c>
      <c r="J1" s="370">
        <f ca="1">TODAY()</f>
        <v>39069</v>
      </c>
    </row>
    <row r="2" spans="1:10" ht="12.75">
      <c r="A2" s="169"/>
      <c r="B2" s="169"/>
      <c r="C2" s="169"/>
      <c r="D2" s="169"/>
      <c r="E2" s="169"/>
      <c r="F2" s="169"/>
      <c r="G2" s="169"/>
      <c r="H2" s="169"/>
      <c r="I2" s="169"/>
      <c r="J2" s="220"/>
    </row>
    <row r="3" spans="1:11" ht="12.75">
      <c r="A3" s="221" t="s">
        <v>478</v>
      </c>
      <c r="B3" s="222"/>
      <c r="C3" s="182"/>
      <c r="D3" s="182"/>
      <c r="E3" s="182"/>
      <c r="F3" s="223"/>
      <c r="G3" s="223"/>
      <c r="H3" s="224"/>
      <c r="I3" s="224"/>
      <c r="J3" s="225"/>
      <c r="K3" s="117"/>
    </row>
    <row r="4" spans="1:10" ht="12.75">
      <c r="A4" s="226"/>
      <c r="B4" s="227" t="s">
        <v>474</v>
      </c>
      <c r="C4" s="227"/>
      <c r="D4" s="168" t="str">
        <f>IF(E4&gt;Capital!B4,"Error: ver capital","")</f>
        <v>Error: ver capital</v>
      </c>
      <c r="E4" s="12">
        <v>1.2</v>
      </c>
      <c r="F4" s="227" t="s">
        <v>32</v>
      </c>
      <c r="G4" s="228" t="s">
        <v>336</v>
      </c>
      <c r="H4" s="227"/>
      <c r="I4" s="163">
        <v>1.16</v>
      </c>
      <c r="J4" s="229" t="s">
        <v>8</v>
      </c>
    </row>
    <row r="5" spans="1:10" ht="12.75">
      <c r="A5" s="226"/>
      <c r="B5" s="228" t="s">
        <v>461</v>
      </c>
      <c r="C5" s="227"/>
      <c r="D5" s="227"/>
      <c r="E5" s="162">
        <v>20000</v>
      </c>
      <c r="F5" s="187" t="s">
        <v>2</v>
      </c>
      <c r="G5" s="228" t="s">
        <v>334</v>
      </c>
      <c r="H5" s="227"/>
      <c r="I5" s="230">
        <f>E5*I4</f>
        <v>23200</v>
      </c>
      <c r="J5" s="229" t="s">
        <v>335</v>
      </c>
    </row>
    <row r="6" spans="1:10" ht="12.75">
      <c r="A6" s="231"/>
      <c r="B6" s="232" t="s">
        <v>257</v>
      </c>
      <c r="C6" s="233"/>
      <c r="D6" s="233"/>
      <c r="E6" s="215">
        <v>20</v>
      </c>
      <c r="F6" s="234" t="s">
        <v>5</v>
      </c>
      <c r="G6" s="233" t="s">
        <v>353</v>
      </c>
      <c r="H6" s="233"/>
      <c r="I6" s="15">
        <v>90</v>
      </c>
      <c r="J6" s="235" t="s">
        <v>354</v>
      </c>
    </row>
    <row r="7" spans="1:11" ht="12.75">
      <c r="A7" s="227"/>
      <c r="B7" s="220"/>
      <c r="C7" s="220"/>
      <c r="D7" s="220"/>
      <c r="E7" s="220"/>
      <c r="F7" s="220"/>
      <c r="G7" s="220"/>
      <c r="H7" s="236"/>
      <c r="I7" s="236"/>
      <c r="J7" s="237"/>
      <c r="K7" s="117"/>
    </row>
    <row r="8" spans="1:10" ht="12.75">
      <c r="A8" s="219" t="s">
        <v>34</v>
      </c>
      <c r="B8" s="219"/>
      <c r="C8" s="169"/>
      <c r="D8" s="169"/>
      <c r="E8" s="169"/>
      <c r="F8" s="238"/>
      <c r="G8" s="238"/>
      <c r="H8" s="169"/>
      <c r="I8" s="169"/>
      <c r="J8" s="220"/>
    </row>
    <row r="9" spans="1:10" ht="12.75">
      <c r="A9" s="170"/>
      <c r="B9" s="182"/>
      <c r="C9" s="239"/>
      <c r="D9" s="239"/>
      <c r="E9" s="240"/>
      <c r="F9" s="241" t="s">
        <v>12</v>
      </c>
      <c r="G9" s="241" t="s">
        <v>24</v>
      </c>
      <c r="H9" s="171" t="s">
        <v>13</v>
      </c>
      <c r="I9" s="171" t="s">
        <v>14</v>
      </c>
      <c r="J9" s="242" t="s">
        <v>44</v>
      </c>
    </row>
    <row r="10" spans="1:10" ht="12.75">
      <c r="A10" s="243" t="s">
        <v>15</v>
      </c>
      <c r="B10" s="244"/>
      <c r="C10" s="234"/>
      <c r="D10" s="234"/>
      <c r="E10" s="234"/>
      <c r="F10" s="174" t="s">
        <v>16</v>
      </c>
      <c r="G10" s="174"/>
      <c r="H10" s="174" t="s">
        <v>17</v>
      </c>
      <c r="I10" s="174" t="s">
        <v>18</v>
      </c>
      <c r="J10" s="235"/>
    </row>
    <row r="11" spans="1:10" ht="12.75">
      <c r="A11" s="245" t="s">
        <v>28</v>
      </c>
      <c r="B11" s="240"/>
      <c r="C11" s="240"/>
      <c r="D11" s="240"/>
      <c r="E11" s="240"/>
      <c r="F11" s="171"/>
      <c r="G11" s="171"/>
      <c r="H11" s="171"/>
      <c r="I11" s="171"/>
      <c r="J11" s="246"/>
    </row>
    <row r="12" spans="1:10" ht="12.75">
      <c r="A12" s="247"/>
      <c r="B12" s="227" t="s">
        <v>36</v>
      </c>
      <c r="C12" s="236"/>
      <c r="D12" s="236"/>
      <c r="E12" s="236"/>
      <c r="F12" s="220"/>
      <c r="G12" s="220"/>
      <c r="H12" s="220"/>
      <c r="I12" s="220"/>
      <c r="J12" s="248"/>
    </row>
    <row r="13" spans="1:10" ht="12.75">
      <c r="A13" s="247"/>
      <c r="B13" s="227"/>
      <c r="C13" s="236" t="s">
        <v>29</v>
      </c>
      <c r="D13" s="236"/>
      <c r="E13" s="236"/>
      <c r="F13" s="199">
        <v>1</v>
      </c>
      <c r="G13" s="249" t="s">
        <v>32</v>
      </c>
      <c r="H13" s="250">
        <f>Datos!D39</f>
        <v>5</v>
      </c>
      <c r="I13" s="198">
        <f>F13*H13</f>
        <v>5</v>
      </c>
      <c r="J13" s="248"/>
    </row>
    <row r="14" spans="1:10" ht="12.75">
      <c r="A14" s="247"/>
      <c r="B14" s="236"/>
      <c r="C14" s="236" t="s">
        <v>30</v>
      </c>
      <c r="D14" s="236"/>
      <c r="E14" s="236"/>
      <c r="F14" s="199">
        <v>1</v>
      </c>
      <c r="G14" s="249" t="s">
        <v>32</v>
      </c>
      <c r="H14" s="250">
        <f>Datos!D40</f>
        <v>2</v>
      </c>
      <c r="I14" s="198">
        <f>F14*H14</f>
        <v>2</v>
      </c>
      <c r="J14" s="248"/>
    </row>
    <row r="15" spans="1:10" ht="12.75">
      <c r="A15" s="247"/>
      <c r="B15" s="236"/>
      <c r="C15" s="236" t="s">
        <v>475</v>
      </c>
      <c r="D15" s="236"/>
      <c r="E15" s="236"/>
      <c r="F15" s="199"/>
      <c r="G15" s="249"/>
      <c r="H15" s="250"/>
      <c r="I15" s="198"/>
      <c r="J15" s="248"/>
    </row>
    <row r="16" spans="1:10" ht="12.75">
      <c r="A16" s="247"/>
      <c r="B16" s="236" t="s">
        <v>37</v>
      </c>
      <c r="C16" s="236"/>
      <c r="D16" s="236"/>
      <c r="E16" s="236"/>
      <c r="F16" s="199"/>
      <c r="G16" s="249"/>
      <c r="H16" s="250"/>
      <c r="I16" s="198"/>
      <c r="J16" s="248"/>
    </row>
    <row r="17" spans="1:10" ht="12.75">
      <c r="A17" s="247"/>
      <c r="B17" s="236"/>
      <c r="C17" s="236" t="s">
        <v>38</v>
      </c>
      <c r="D17" s="236"/>
      <c r="E17" s="236"/>
      <c r="F17" s="251">
        <f>Capital!B6</f>
        <v>400</v>
      </c>
      <c r="G17" s="249" t="s">
        <v>64</v>
      </c>
      <c r="H17" s="250"/>
      <c r="I17" s="198">
        <f>Capital!I6</f>
        <v>66.66666666666667</v>
      </c>
      <c r="J17" s="248"/>
    </row>
    <row r="18" spans="1:10" ht="12.75">
      <c r="A18" s="247"/>
      <c r="B18" s="236" t="s">
        <v>39</v>
      </c>
      <c r="C18" s="236"/>
      <c r="D18" s="236"/>
      <c r="E18" s="236"/>
      <c r="F18" s="199"/>
      <c r="G18" s="249"/>
      <c r="H18" s="250"/>
      <c r="I18" s="198"/>
      <c r="J18" s="248"/>
    </row>
    <row r="19" spans="1:10" ht="12.75">
      <c r="A19" s="247"/>
      <c r="B19" s="236"/>
      <c r="C19" s="236" t="s">
        <v>40</v>
      </c>
      <c r="D19" s="236"/>
      <c r="E19" s="236"/>
      <c r="F19" s="252"/>
      <c r="G19" s="249"/>
      <c r="H19" s="253"/>
      <c r="I19" s="198">
        <f>Capital!J4</f>
        <v>750</v>
      </c>
      <c r="J19" s="248"/>
    </row>
    <row r="20" spans="1:10" ht="12.75">
      <c r="A20" s="247"/>
      <c r="B20" s="236"/>
      <c r="C20" s="236" t="s">
        <v>473</v>
      </c>
      <c r="D20" s="236"/>
      <c r="E20" s="236"/>
      <c r="F20" s="254"/>
      <c r="G20" s="249"/>
      <c r="H20" s="253"/>
      <c r="I20" s="255">
        <f>Capital!J6</f>
        <v>60</v>
      </c>
      <c r="J20" s="256">
        <f>SUM(I13:I20)</f>
        <v>883.6666666666666</v>
      </c>
    </row>
    <row r="21" spans="1:10" ht="12.75">
      <c r="A21" s="257"/>
      <c r="B21" s="258"/>
      <c r="C21" s="236"/>
      <c r="D21" s="236"/>
      <c r="E21" s="236"/>
      <c r="F21" s="199"/>
      <c r="G21" s="199"/>
      <c r="H21" s="199"/>
      <c r="I21" s="199"/>
      <c r="J21" s="248"/>
    </row>
    <row r="22" spans="1:10" ht="12.75">
      <c r="A22" s="247" t="s">
        <v>51</v>
      </c>
      <c r="B22" s="236"/>
      <c r="C22" s="236"/>
      <c r="D22" s="236"/>
      <c r="E22" s="236"/>
      <c r="F22" s="187"/>
      <c r="G22" s="187"/>
      <c r="H22" s="187"/>
      <c r="I22" s="187"/>
      <c r="J22" s="248"/>
    </row>
    <row r="23" spans="1:10" ht="12.75">
      <c r="A23" s="247"/>
      <c r="B23" s="236" t="s">
        <v>47</v>
      </c>
      <c r="C23" s="236"/>
      <c r="D23" s="236"/>
      <c r="E23" s="236"/>
      <c r="F23" s="187"/>
      <c r="G23" s="187"/>
      <c r="H23" s="187"/>
      <c r="I23" s="187"/>
      <c r="J23" s="248"/>
    </row>
    <row r="24" spans="1:10" ht="12.75">
      <c r="A24" s="247"/>
      <c r="B24" s="236"/>
      <c r="C24" s="236" t="s">
        <v>267</v>
      </c>
      <c r="D24" s="236"/>
      <c r="E24" s="236"/>
      <c r="F24" s="12">
        <v>2</v>
      </c>
      <c r="G24" s="187" t="s">
        <v>270</v>
      </c>
      <c r="H24" s="198">
        <f>Datos!D51</f>
        <v>11</v>
      </c>
      <c r="I24" s="198">
        <f aca="true" t="shared" si="0" ref="I24:I37">F24*H24</f>
        <v>22</v>
      </c>
      <c r="J24" s="248"/>
    </row>
    <row r="25" spans="1:10" ht="12.75">
      <c r="A25" s="247"/>
      <c r="B25" s="236"/>
      <c r="C25" s="236" t="s">
        <v>269</v>
      </c>
      <c r="D25" s="236"/>
      <c r="E25" s="236"/>
      <c r="F25" s="12">
        <v>1</v>
      </c>
      <c r="G25" s="187" t="s">
        <v>271</v>
      </c>
      <c r="H25" s="198">
        <f>Datos!D50</f>
        <v>8</v>
      </c>
      <c r="I25" s="198">
        <f t="shared" si="0"/>
        <v>8</v>
      </c>
      <c r="J25" s="248"/>
    </row>
    <row r="26" spans="1:10" ht="12.75">
      <c r="A26" s="185"/>
      <c r="B26" s="227"/>
      <c r="C26" s="187" t="s">
        <v>3</v>
      </c>
      <c r="D26" s="187"/>
      <c r="E26" s="187"/>
      <c r="F26" s="12">
        <v>1</v>
      </c>
      <c r="G26" s="187" t="s">
        <v>272</v>
      </c>
      <c r="H26" s="198">
        <f>Datos!D48</f>
        <v>25</v>
      </c>
      <c r="I26" s="198">
        <f t="shared" si="0"/>
        <v>25</v>
      </c>
      <c r="J26" s="248"/>
    </row>
    <row r="27" spans="1:10" ht="12.75">
      <c r="A27" s="185"/>
      <c r="B27" s="227"/>
      <c r="C27" s="187" t="s">
        <v>6</v>
      </c>
      <c r="D27" s="187"/>
      <c r="E27" s="187"/>
      <c r="F27" s="12">
        <v>2</v>
      </c>
      <c r="G27" s="187" t="s">
        <v>273</v>
      </c>
      <c r="H27" s="198">
        <f>Datos!$D$49</f>
        <v>8</v>
      </c>
      <c r="I27" s="198">
        <f t="shared" si="0"/>
        <v>16</v>
      </c>
      <c r="J27" s="248"/>
    </row>
    <row r="28" spans="1:10" ht="12.75">
      <c r="A28" s="185"/>
      <c r="B28" s="227"/>
      <c r="C28" s="187" t="s">
        <v>19</v>
      </c>
      <c r="D28" s="187"/>
      <c r="E28" s="187"/>
      <c r="F28" s="187"/>
      <c r="G28" s="187"/>
      <c r="H28" s="187"/>
      <c r="I28" s="198"/>
      <c r="J28" s="248"/>
    </row>
    <row r="29" spans="1:10" ht="12.75">
      <c r="A29" s="185"/>
      <c r="B29" s="227"/>
      <c r="C29" s="187"/>
      <c r="D29" s="187" t="s">
        <v>20</v>
      </c>
      <c r="E29" s="227"/>
      <c r="F29" s="12">
        <v>0.5</v>
      </c>
      <c r="G29" s="187" t="s">
        <v>42</v>
      </c>
      <c r="H29" s="179">
        <f>Datos!$D$41</f>
        <v>18</v>
      </c>
      <c r="I29" s="198">
        <f t="shared" si="0"/>
        <v>9</v>
      </c>
      <c r="J29" s="248"/>
    </row>
    <row r="30" spans="1:10" ht="12.75">
      <c r="A30" s="185"/>
      <c r="B30" s="227"/>
      <c r="C30" s="187"/>
      <c r="D30" s="236" t="s">
        <v>9</v>
      </c>
      <c r="E30" s="227"/>
      <c r="F30" s="12">
        <v>2</v>
      </c>
      <c r="G30" s="187" t="s">
        <v>25</v>
      </c>
      <c r="H30" s="198">
        <f>Datos!$D$53</f>
        <v>10</v>
      </c>
      <c r="I30" s="198">
        <f t="shared" si="0"/>
        <v>20</v>
      </c>
      <c r="J30" s="248"/>
    </row>
    <row r="31" spans="1:10" ht="12.75">
      <c r="A31" s="226"/>
      <c r="B31" s="187" t="s">
        <v>48</v>
      </c>
      <c r="C31" s="187"/>
      <c r="D31" s="187"/>
      <c r="E31" s="187"/>
      <c r="F31" s="187"/>
      <c r="G31" s="187"/>
      <c r="H31" s="187"/>
      <c r="I31" s="187"/>
      <c r="J31" s="248"/>
    </row>
    <row r="32" spans="1:10" ht="12.75">
      <c r="A32" s="185"/>
      <c r="B32" s="227"/>
      <c r="C32" s="187" t="s">
        <v>26</v>
      </c>
      <c r="D32" s="187"/>
      <c r="E32" s="187"/>
      <c r="F32" s="12">
        <v>0.5</v>
      </c>
      <c r="G32" s="187" t="s">
        <v>42</v>
      </c>
      <c r="H32" s="179">
        <f>Datos!$D$41</f>
        <v>18</v>
      </c>
      <c r="I32" s="198">
        <f t="shared" si="0"/>
        <v>9</v>
      </c>
      <c r="J32" s="248"/>
    </row>
    <row r="33" spans="1:10" ht="12.75">
      <c r="A33" s="185"/>
      <c r="B33" s="227"/>
      <c r="C33" s="236" t="str">
        <f>IF(Datos!$A$38="Plantines","Plantines","Estacas")</f>
        <v>Estacas</v>
      </c>
      <c r="D33" s="187"/>
      <c r="E33" s="187"/>
      <c r="F33" s="187">
        <f>E5</f>
        <v>20000</v>
      </c>
      <c r="G33" s="236" t="str">
        <f>IF(Datos!$A$52="Plantines","plantines","estacas")</f>
        <v>plantines</v>
      </c>
      <c r="H33" s="198">
        <f>Datos!D52</f>
        <v>0.2</v>
      </c>
      <c r="I33" s="198">
        <f t="shared" si="0"/>
        <v>4000</v>
      </c>
      <c r="J33" s="248"/>
    </row>
    <row r="34" spans="1:10" ht="12.75">
      <c r="A34" s="185"/>
      <c r="B34" s="227"/>
      <c r="C34" s="187" t="str">
        <f>"Distribución "&amp;IF(Datos!$A$52="Plantines","plantines","estacas")&amp;" (mano de obra)"</f>
        <v>Distribución plantines (mano de obra)</v>
      </c>
      <c r="D34" s="187"/>
      <c r="E34" s="187"/>
      <c r="F34" s="12">
        <v>0.5</v>
      </c>
      <c r="G34" s="187" t="s">
        <v>42</v>
      </c>
      <c r="H34" s="179">
        <f>Datos!$D$41</f>
        <v>18</v>
      </c>
      <c r="I34" s="198">
        <f t="shared" si="0"/>
        <v>9</v>
      </c>
      <c r="J34" s="248"/>
    </row>
    <row r="35" spans="1:10" ht="12.75">
      <c r="A35" s="185"/>
      <c r="B35" s="227"/>
      <c r="C35" s="187" t="s">
        <v>27</v>
      </c>
      <c r="D35" s="187"/>
      <c r="E35" s="187"/>
      <c r="F35" s="12">
        <v>8</v>
      </c>
      <c r="G35" s="187" t="s">
        <v>42</v>
      </c>
      <c r="H35" s="179">
        <f>Datos!$D$41</f>
        <v>18</v>
      </c>
      <c r="I35" s="198">
        <f t="shared" si="0"/>
        <v>144</v>
      </c>
      <c r="J35" s="248"/>
    </row>
    <row r="36" spans="1:10" ht="12.75">
      <c r="A36" s="185"/>
      <c r="B36" s="227"/>
      <c r="C36" s="187" t="s">
        <v>68</v>
      </c>
      <c r="D36" s="187"/>
      <c r="E36" s="187"/>
      <c r="F36" s="12">
        <v>100</v>
      </c>
      <c r="G36" s="187" t="s">
        <v>25</v>
      </c>
      <c r="H36" s="179">
        <f>Datos!$D$54</f>
        <v>2</v>
      </c>
      <c r="I36" s="198">
        <f t="shared" si="0"/>
        <v>200</v>
      </c>
      <c r="J36" s="248"/>
    </row>
    <row r="37" spans="1:10" ht="12.75">
      <c r="A37" s="185"/>
      <c r="B37" s="227"/>
      <c r="C37" s="187" t="s">
        <v>33</v>
      </c>
      <c r="D37" s="187"/>
      <c r="E37" s="187"/>
      <c r="F37" s="12">
        <v>0</v>
      </c>
      <c r="G37" s="187" t="s">
        <v>42</v>
      </c>
      <c r="H37" s="179">
        <f>Datos!$D$41</f>
        <v>18</v>
      </c>
      <c r="I37" s="198">
        <f t="shared" si="0"/>
        <v>0</v>
      </c>
      <c r="J37" s="248"/>
    </row>
    <row r="38" spans="1:10" ht="12.75">
      <c r="A38" s="226"/>
      <c r="B38" s="187" t="s">
        <v>49</v>
      </c>
      <c r="C38" s="187"/>
      <c r="D38" s="187"/>
      <c r="E38" s="187"/>
      <c r="F38" s="187"/>
      <c r="G38" s="187"/>
      <c r="H38" s="187"/>
      <c r="I38" s="187"/>
      <c r="J38" s="248"/>
    </row>
    <row r="39" spans="1:10" ht="12.75">
      <c r="A39" s="185"/>
      <c r="B39" s="227"/>
      <c r="C39" s="187" t="s">
        <v>21</v>
      </c>
      <c r="D39" s="187"/>
      <c r="E39" s="187"/>
      <c r="F39" s="12">
        <v>4</v>
      </c>
      <c r="G39" s="187" t="s">
        <v>42</v>
      </c>
      <c r="H39" s="179">
        <f>Datos!$D$41</f>
        <v>18</v>
      </c>
      <c r="I39" s="198">
        <f>F39*H39</f>
        <v>72</v>
      </c>
      <c r="J39" s="248"/>
    </row>
    <row r="40" spans="1:10" ht="12.75">
      <c r="A40" s="185"/>
      <c r="B40" s="227"/>
      <c r="C40" s="187" t="s">
        <v>6</v>
      </c>
      <c r="D40" s="187"/>
      <c r="E40" s="187"/>
      <c r="F40" s="12">
        <v>2</v>
      </c>
      <c r="G40" s="187" t="s">
        <v>273</v>
      </c>
      <c r="H40" s="198">
        <f>Datos!$D$49</f>
        <v>8</v>
      </c>
      <c r="I40" s="198">
        <f>F40*H40</f>
        <v>16</v>
      </c>
      <c r="J40" s="248"/>
    </row>
    <row r="41" spans="1:10" ht="12.75">
      <c r="A41" s="185"/>
      <c r="B41" s="227"/>
      <c r="C41" s="187" t="s">
        <v>317</v>
      </c>
      <c r="D41" s="187"/>
      <c r="E41" s="187"/>
      <c r="F41" s="12">
        <v>4</v>
      </c>
      <c r="G41" s="187" t="s">
        <v>42</v>
      </c>
      <c r="H41" s="179">
        <f>Datos!$D$41</f>
        <v>18</v>
      </c>
      <c r="I41" s="198">
        <f>F41*H41</f>
        <v>72</v>
      </c>
      <c r="J41" s="248"/>
    </row>
    <row r="42" spans="1:10" ht="12.75">
      <c r="A42" s="185"/>
      <c r="B42" s="227"/>
      <c r="C42" s="187" t="s">
        <v>19</v>
      </c>
      <c r="D42" s="187"/>
      <c r="E42" s="187"/>
      <c r="F42" s="187"/>
      <c r="G42" s="187"/>
      <c r="H42" s="187"/>
      <c r="I42" s="198"/>
      <c r="J42" s="248"/>
    </row>
    <row r="43" spans="1:10" ht="12.75">
      <c r="A43" s="185"/>
      <c r="B43" s="227"/>
      <c r="C43" s="187"/>
      <c r="D43" s="187" t="s">
        <v>20</v>
      </c>
      <c r="E43" s="227"/>
      <c r="F43" s="12">
        <v>0.5</v>
      </c>
      <c r="G43" s="187" t="s">
        <v>42</v>
      </c>
      <c r="H43" s="179">
        <f>Datos!$D$41</f>
        <v>18</v>
      </c>
      <c r="I43" s="198">
        <f>F43*H43</f>
        <v>9</v>
      </c>
      <c r="J43" s="248"/>
    </row>
    <row r="44" spans="1:10" ht="12.75">
      <c r="A44" s="185"/>
      <c r="B44" s="227"/>
      <c r="C44" s="187"/>
      <c r="D44" s="236" t="s">
        <v>9</v>
      </c>
      <c r="E44" s="227"/>
      <c r="F44" s="12">
        <v>2</v>
      </c>
      <c r="G44" s="187" t="s">
        <v>25</v>
      </c>
      <c r="H44" s="198">
        <f>Datos!$D$53</f>
        <v>10</v>
      </c>
      <c r="I44" s="198">
        <f>F44*H44</f>
        <v>20</v>
      </c>
      <c r="J44" s="248"/>
    </row>
    <row r="45" spans="1:10" ht="12.75">
      <c r="A45" s="185"/>
      <c r="B45" s="227"/>
      <c r="C45" s="187" t="s">
        <v>33</v>
      </c>
      <c r="D45" s="187"/>
      <c r="E45" s="187"/>
      <c r="F45" s="12">
        <v>0</v>
      </c>
      <c r="G45" s="187" t="s">
        <v>42</v>
      </c>
      <c r="H45" s="179">
        <f>Datos!$D$41</f>
        <v>18</v>
      </c>
      <c r="I45" s="255">
        <f>F45*H45</f>
        <v>0</v>
      </c>
      <c r="J45" s="256">
        <f>SUM(I22:I45)</f>
        <v>4651</v>
      </c>
    </row>
    <row r="46" spans="1:10" ht="12.75">
      <c r="A46" s="185" t="s">
        <v>54</v>
      </c>
      <c r="B46" s="187"/>
      <c r="C46" s="187"/>
      <c r="D46" s="187"/>
      <c r="E46" s="259"/>
      <c r="F46" s="165">
        <v>6</v>
      </c>
      <c r="G46" s="198" t="s">
        <v>43</v>
      </c>
      <c r="H46" s="187"/>
      <c r="I46" s="227"/>
      <c r="J46" s="256">
        <f>Capital!$M$43*F46/12*J45</f>
        <v>232.55000000000004</v>
      </c>
    </row>
    <row r="47" spans="1:10" ht="12.75">
      <c r="A47" s="172" t="s">
        <v>50</v>
      </c>
      <c r="B47" s="173"/>
      <c r="C47" s="173"/>
      <c r="D47" s="173"/>
      <c r="E47" s="260"/>
      <c r="F47" s="166">
        <v>0</v>
      </c>
      <c r="G47" s="255"/>
      <c r="H47" s="173"/>
      <c r="I47" s="233"/>
      <c r="J47" s="261">
        <f>F47*H47</f>
        <v>0</v>
      </c>
    </row>
    <row r="48" spans="1:10" ht="12.75">
      <c r="A48" s="185" t="s">
        <v>41</v>
      </c>
      <c r="B48" s="187"/>
      <c r="C48" s="187"/>
      <c r="D48" s="187"/>
      <c r="E48" s="187"/>
      <c r="F48" s="187"/>
      <c r="G48" s="187"/>
      <c r="H48" s="187"/>
      <c r="I48" s="227"/>
      <c r="J48" s="256">
        <f>J20+J45+J46-J47</f>
        <v>5767.216666666667</v>
      </c>
    </row>
    <row r="49" spans="1:10" ht="12.75">
      <c r="A49" s="185"/>
      <c r="B49" s="187"/>
      <c r="C49" s="187"/>
      <c r="D49" s="187"/>
      <c r="E49" s="187"/>
      <c r="F49" s="187"/>
      <c r="G49" s="187"/>
      <c r="H49" s="187"/>
      <c r="I49" s="198"/>
      <c r="J49" s="248"/>
    </row>
    <row r="50" spans="1:10" ht="12.75">
      <c r="A50" s="193" t="s">
        <v>22</v>
      </c>
      <c r="B50" s="187"/>
      <c r="C50" s="187"/>
      <c r="D50" s="187"/>
      <c r="E50" s="187"/>
      <c r="F50" s="187"/>
      <c r="G50" s="187"/>
      <c r="H50" s="187"/>
      <c r="I50" s="198"/>
      <c r="J50" s="248"/>
    </row>
    <row r="51" spans="1:10" ht="12.75">
      <c r="A51" s="185" t="s">
        <v>45</v>
      </c>
      <c r="B51" s="187"/>
      <c r="C51" s="187"/>
      <c r="D51" s="187"/>
      <c r="E51" s="187"/>
      <c r="F51" s="259">
        <f>Capital!$M$43</f>
        <v>0.1</v>
      </c>
      <c r="G51" s="187"/>
      <c r="H51" s="187"/>
      <c r="I51" s="227"/>
      <c r="J51" s="256">
        <f>J48*F51</f>
        <v>576.7216666666667</v>
      </c>
    </row>
    <row r="52" spans="1:10" ht="12.75">
      <c r="A52" s="185" t="s">
        <v>46</v>
      </c>
      <c r="B52" s="187"/>
      <c r="C52" s="187"/>
      <c r="D52" s="187"/>
      <c r="E52" s="187"/>
      <c r="F52" s="187"/>
      <c r="G52" s="187"/>
      <c r="H52" s="187"/>
      <c r="I52" s="227"/>
      <c r="J52" s="256">
        <f>$J$20</f>
        <v>883.6666666666666</v>
      </c>
    </row>
    <row r="53" spans="1:10" ht="12.75">
      <c r="A53" s="247" t="s">
        <v>52</v>
      </c>
      <c r="B53" s="187"/>
      <c r="C53" s="187"/>
      <c r="D53" s="187"/>
      <c r="E53" s="187"/>
      <c r="F53" s="187"/>
      <c r="G53" s="187"/>
      <c r="H53" s="187"/>
      <c r="I53" s="227"/>
      <c r="J53" s="256"/>
    </row>
    <row r="54" spans="1:10" ht="12.75">
      <c r="A54" s="226"/>
      <c r="B54" s="187" t="s">
        <v>53</v>
      </c>
      <c r="C54" s="187"/>
      <c r="D54" s="187"/>
      <c r="E54" s="187"/>
      <c r="F54" s="187"/>
      <c r="G54" s="187"/>
      <c r="H54" s="187"/>
      <c r="I54" s="187"/>
      <c r="J54" s="248"/>
    </row>
    <row r="55" spans="1:10" ht="12.75">
      <c r="A55" s="185"/>
      <c r="B55" s="227"/>
      <c r="C55" s="187" t="s">
        <v>21</v>
      </c>
      <c r="D55" s="187"/>
      <c r="E55" s="187"/>
      <c r="F55" s="12">
        <v>4</v>
      </c>
      <c r="G55" s="187" t="s">
        <v>42</v>
      </c>
      <c r="H55" s="179">
        <f>Datos!$D$41</f>
        <v>18</v>
      </c>
      <c r="I55" s="198">
        <f>F55*H55</f>
        <v>72</v>
      </c>
      <c r="J55" s="248"/>
    </row>
    <row r="56" spans="1:10" ht="12.75">
      <c r="A56" s="185"/>
      <c r="B56" s="227"/>
      <c r="C56" s="187" t="s">
        <v>6</v>
      </c>
      <c r="D56" s="187"/>
      <c r="E56" s="187"/>
      <c r="F56" s="12">
        <v>2</v>
      </c>
      <c r="G56" s="187" t="s">
        <v>273</v>
      </c>
      <c r="H56" s="198">
        <f>Datos!$D$49</f>
        <v>8</v>
      </c>
      <c r="I56" s="198">
        <f>F56*H56</f>
        <v>16</v>
      </c>
      <c r="J56" s="248"/>
    </row>
    <row r="57" spans="1:10" ht="12.75">
      <c r="A57" s="185"/>
      <c r="B57" s="227"/>
      <c r="C57" s="187" t="s">
        <v>19</v>
      </c>
      <c r="D57" s="187"/>
      <c r="E57" s="187"/>
      <c r="F57" s="187"/>
      <c r="G57" s="187"/>
      <c r="H57" s="187"/>
      <c r="I57" s="198"/>
      <c r="J57" s="248"/>
    </row>
    <row r="58" spans="1:10" ht="12.75">
      <c r="A58" s="185"/>
      <c r="B58" s="227"/>
      <c r="C58" s="187"/>
      <c r="D58" s="187" t="s">
        <v>20</v>
      </c>
      <c r="E58" s="227"/>
      <c r="F58" s="12">
        <v>0.5</v>
      </c>
      <c r="G58" s="187" t="s">
        <v>42</v>
      </c>
      <c r="H58" s="179">
        <f>Datos!$D$41</f>
        <v>18</v>
      </c>
      <c r="I58" s="198">
        <f>F58*H58</f>
        <v>9</v>
      </c>
      <c r="J58" s="248"/>
    </row>
    <row r="59" spans="1:10" ht="12.75">
      <c r="A59" s="185"/>
      <c r="B59" s="227"/>
      <c r="C59" s="187"/>
      <c r="D59" s="236" t="s">
        <v>9</v>
      </c>
      <c r="E59" s="227"/>
      <c r="F59" s="12">
        <v>1</v>
      </c>
      <c r="G59" s="187" t="s">
        <v>25</v>
      </c>
      <c r="H59" s="198">
        <f>Datos!$D$53</f>
        <v>10</v>
      </c>
      <c r="I59" s="198">
        <f>F59*H59</f>
        <v>10</v>
      </c>
      <c r="J59" s="248"/>
    </row>
    <row r="60" spans="1:10" ht="12.75">
      <c r="A60" s="185"/>
      <c r="B60" s="227"/>
      <c r="C60" s="187" t="s">
        <v>33</v>
      </c>
      <c r="D60" s="187"/>
      <c r="E60" s="236"/>
      <c r="F60" s="21"/>
      <c r="G60" s="187" t="s">
        <v>42</v>
      </c>
      <c r="H60" s="179">
        <f>Datos!$D$41</f>
        <v>18</v>
      </c>
      <c r="I60" s="198">
        <f>F60*H60</f>
        <v>0</v>
      </c>
      <c r="J60" s="248"/>
    </row>
    <row r="61" spans="1:10" ht="12.75">
      <c r="A61" s="226"/>
      <c r="B61" s="187" t="s">
        <v>55</v>
      </c>
      <c r="C61" s="187"/>
      <c r="D61" s="187"/>
      <c r="E61" s="227"/>
      <c r="F61" s="21"/>
      <c r="G61" s="187"/>
      <c r="H61" s="198"/>
      <c r="I61" s="198"/>
      <c r="J61" s="248"/>
    </row>
    <row r="62" spans="1:10" ht="12.75">
      <c r="A62" s="226"/>
      <c r="B62" s="227"/>
      <c r="C62" s="236" t="str">
        <f>IF(Datos!$A$52="Plantines","Plantines","Estacas")</f>
        <v>Plantines</v>
      </c>
      <c r="D62" s="187"/>
      <c r="E62" s="187"/>
      <c r="F62" s="9">
        <v>0.05</v>
      </c>
      <c r="G62" s="190"/>
      <c r="H62" s="198">
        <f>I33</f>
        <v>4000</v>
      </c>
      <c r="I62" s="198">
        <f>F62*H62</f>
        <v>200</v>
      </c>
      <c r="J62" s="248"/>
    </row>
    <row r="63" spans="1:10" ht="12.75">
      <c r="A63" s="226"/>
      <c r="B63" s="187"/>
      <c r="C63" s="187" t="s">
        <v>27</v>
      </c>
      <c r="D63" s="187"/>
      <c r="E63" s="187"/>
      <c r="F63" s="12">
        <v>1</v>
      </c>
      <c r="G63" s="187" t="s">
        <v>42</v>
      </c>
      <c r="H63" s="179">
        <f>$H$45</f>
        <v>18</v>
      </c>
      <c r="I63" s="255">
        <f>F63*H63</f>
        <v>18</v>
      </c>
      <c r="J63" s="256">
        <f>SUM(I54:I63)</f>
        <v>325</v>
      </c>
    </row>
    <row r="64" spans="1:10" ht="12.75">
      <c r="A64" s="185"/>
      <c r="B64" s="187"/>
      <c r="C64" s="187"/>
      <c r="D64" s="187"/>
      <c r="E64" s="187"/>
      <c r="F64" s="187"/>
      <c r="G64" s="187"/>
      <c r="H64" s="187"/>
      <c r="I64" s="227"/>
      <c r="J64" s="248"/>
    </row>
    <row r="65" spans="1:10" ht="12.75">
      <c r="A65" s="185" t="s">
        <v>56</v>
      </c>
      <c r="B65" s="187"/>
      <c r="C65" s="187"/>
      <c r="D65" s="187"/>
      <c r="E65" s="187"/>
      <c r="F65" s="187"/>
      <c r="G65" s="187"/>
      <c r="H65" s="187"/>
      <c r="I65" s="227"/>
      <c r="J65" s="256">
        <f>Capital!$M$43*J63</f>
        <v>32.5</v>
      </c>
    </row>
    <row r="66" spans="1:10" ht="12.75">
      <c r="A66" s="172" t="s">
        <v>57</v>
      </c>
      <c r="B66" s="173"/>
      <c r="C66" s="173"/>
      <c r="D66" s="173"/>
      <c r="E66" s="260"/>
      <c r="F66" s="166">
        <v>0</v>
      </c>
      <c r="G66" s="255"/>
      <c r="H66" s="173"/>
      <c r="I66" s="233"/>
      <c r="J66" s="261">
        <f>F66*H66</f>
        <v>0</v>
      </c>
    </row>
    <row r="67" spans="1:10" ht="12.75">
      <c r="A67" s="185" t="s">
        <v>58</v>
      </c>
      <c r="B67" s="187"/>
      <c r="C67" s="187"/>
      <c r="D67" s="187"/>
      <c r="E67" s="259"/>
      <c r="F67" s="262"/>
      <c r="G67" s="198"/>
      <c r="H67" s="187"/>
      <c r="I67" s="227"/>
      <c r="J67" s="256">
        <f>J48+J51+J52+J63+J65-J66</f>
        <v>7585.1050000000005</v>
      </c>
    </row>
    <row r="68" spans="1:10" ht="12.75">
      <c r="A68" s="185"/>
      <c r="B68" s="187"/>
      <c r="C68" s="187"/>
      <c r="D68" s="187"/>
      <c r="E68" s="259"/>
      <c r="F68" s="262"/>
      <c r="G68" s="198"/>
      <c r="H68" s="187"/>
      <c r="I68" s="227"/>
      <c r="J68" s="263"/>
    </row>
    <row r="69" spans="1:10" ht="12.75">
      <c r="A69" s="193" t="s">
        <v>23</v>
      </c>
      <c r="B69" s="167"/>
      <c r="C69" s="187"/>
      <c r="D69" s="187"/>
      <c r="E69" s="187"/>
      <c r="F69" s="187"/>
      <c r="G69" s="187"/>
      <c r="H69" s="187"/>
      <c r="I69" s="187"/>
      <c r="J69" s="248"/>
    </row>
    <row r="70" spans="1:10" ht="12.75">
      <c r="A70" s="185" t="s">
        <v>59</v>
      </c>
      <c r="B70" s="187"/>
      <c r="C70" s="187"/>
      <c r="D70" s="187"/>
      <c r="E70" s="187"/>
      <c r="F70" s="259">
        <f>Capital!$M$43</f>
        <v>0.1</v>
      </c>
      <c r="G70" s="187"/>
      <c r="H70" s="187"/>
      <c r="I70" s="227"/>
      <c r="J70" s="256">
        <f>J67*F70</f>
        <v>758.5105000000001</v>
      </c>
    </row>
    <row r="71" spans="1:10" ht="12.75">
      <c r="A71" s="185" t="s">
        <v>60</v>
      </c>
      <c r="B71" s="187"/>
      <c r="C71" s="187"/>
      <c r="D71" s="187"/>
      <c r="E71" s="187"/>
      <c r="F71" s="187"/>
      <c r="G71" s="187"/>
      <c r="H71" s="187"/>
      <c r="I71" s="227"/>
      <c r="J71" s="256">
        <f>$J$20</f>
        <v>883.6666666666666</v>
      </c>
    </row>
    <row r="72" spans="1:10" ht="12.75">
      <c r="A72" s="247" t="s">
        <v>61</v>
      </c>
      <c r="B72" s="187"/>
      <c r="C72" s="187"/>
      <c r="D72" s="187"/>
      <c r="E72" s="187"/>
      <c r="F72" s="187"/>
      <c r="G72" s="187"/>
      <c r="H72" s="187"/>
      <c r="I72" s="227"/>
      <c r="J72" s="256"/>
    </row>
    <row r="73" spans="1:10" ht="12.75">
      <c r="A73" s="226"/>
      <c r="B73" s="187" t="s">
        <v>53</v>
      </c>
      <c r="C73" s="187"/>
      <c r="D73" s="187"/>
      <c r="E73" s="187"/>
      <c r="F73" s="187"/>
      <c r="G73" s="187"/>
      <c r="H73" s="187"/>
      <c r="I73" s="187"/>
      <c r="J73" s="248"/>
    </row>
    <row r="74" spans="1:10" ht="12.75">
      <c r="A74" s="226"/>
      <c r="B74" s="187"/>
      <c r="C74" s="187" t="s">
        <v>21</v>
      </c>
      <c r="D74" s="187"/>
      <c r="E74" s="187"/>
      <c r="F74" s="12">
        <v>2</v>
      </c>
      <c r="G74" s="187"/>
      <c r="H74" s="179">
        <f>Datos!$D$41</f>
        <v>18</v>
      </c>
      <c r="I74" s="198">
        <f>F74*H74</f>
        <v>36</v>
      </c>
      <c r="J74" s="248"/>
    </row>
    <row r="75" spans="1:10" ht="12.75">
      <c r="A75" s="226"/>
      <c r="B75" s="187"/>
      <c r="C75" s="187" t="s">
        <v>6</v>
      </c>
      <c r="D75" s="187"/>
      <c r="E75" s="187"/>
      <c r="F75" s="12">
        <v>1</v>
      </c>
      <c r="G75" s="187"/>
      <c r="H75" s="198">
        <f>Datos!$D$49</f>
        <v>8</v>
      </c>
      <c r="I75" s="198">
        <f>F75*H75</f>
        <v>8</v>
      </c>
      <c r="J75" s="248"/>
    </row>
    <row r="76" spans="1:10" ht="12.75">
      <c r="A76" s="226"/>
      <c r="B76" s="187"/>
      <c r="C76" s="187" t="s">
        <v>19</v>
      </c>
      <c r="D76" s="187"/>
      <c r="E76" s="187"/>
      <c r="F76" s="187"/>
      <c r="G76" s="187"/>
      <c r="H76" s="187"/>
      <c r="I76" s="198"/>
      <c r="J76" s="248"/>
    </row>
    <row r="77" spans="1:10" ht="12.75">
      <c r="A77" s="226"/>
      <c r="B77" s="187"/>
      <c r="C77" s="187"/>
      <c r="D77" s="187" t="s">
        <v>20</v>
      </c>
      <c r="E77" s="227"/>
      <c r="F77" s="12">
        <v>0.5</v>
      </c>
      <c r="G77" s="187" t="s">
        <v>42</v>
      </c>
      <c r="H77" s="179">
        <f>Datos!$D$41</f>
        <v>18</v>
      </c>
      <c r="I77" s="198">
        <f>F77*H77</f>
        <v>9</v>
      </c>
      <c r="J77" s="248"/>
    </row>
    <row r="78" spans="1:10" ht="12.75">
      <c r="A78" s="226"/>
      <c r="B78" s="187"/>
      <c r="C78" s="187"/>
      <c r="D78" s="236" t="s">
        <v>9</v>
      </c>
      <c r="E78" s="227"/>
      <c r="F78" s="12">
        <v>0.5</v>
      </c>
      <c r="G78" s="187" t="s">
        <v>25</v>
      </c>
      <c r="H78" s="198">
        <f>Datos!$D$53</f>
        <v>10</v>
      </c>
      <c r="I78" s="198">
        <f>F78*H78</f>
        <v>5</v>
      </c>
      <c r="J78" s="248"/>
    </row>
    <row r="79" spans="1:10" ht="12.75">
      <c r="A79" s="226"/>
      <c r="B79" s="187"/>
      <c r="C79" s="187" t="s">
        <v>33</v>
      </c>
      <c r="D79" s="187"/>
      <c r="E79" s="187"/>
      <c r="F79" s="12">
        <v>0</v>
      </c>
      <c r="G79" s="187" t="s">
        <v>42</v>
      </c>
      <c r="H79" s="179">
        <f>$H$45</f>
        <v>18</v>
      </c>
      <c r="I79" s="255">
        <f>F79*H79</f>
        <v>0</v>
      </c>
      <c r="J79" s="191">
        <f>SUM(I66:I79)</f>
        <v>58</v>
      </c>
    </row>
    <row r="80" spans="1:10" ht="12.75">
      <c r="A80" s="185" t="s">
        <v>62</v>
      </c>
      <c r="B80" s="187"/>
      <c r="C80" s="187"/>
      <c r="D80" s="187"/>
      <c r="E80" s="187"/>
      <c r="F80" s="187"/>
      <c r="G80" s="187"/>
      <c r="H80" s="187"/>
      <c r="I80" s="227"/>
      <c r="J80" s="256">
        <f>Capital!$M$43*J79</f>
        <v>5.800000000000001</v>
      </c>
    </row>
    <row r="81" spans="1:10" ht="12.75">
      <c r="A81" s="172" t="s">
        <v>63</v>
      </c>
      <c r="B81" s="173"/>
      <c r="C81" s="173"/>
      <c r="D81" s="173"/>
      <c r="E81" s="260"/>
      <c r="F81" s="166">
        <v>0</v>
      </c>
      <c r="G81" s="255"/>
      <c r="H81" s="173"/>
      <c r="I81" s="233"/>
      <c r="J81" s="261">
        <f>F81*H81</f>
        <v>0</v>
      </c>
    </row>
    <row r="82" spans="1:10" ht="13.5" thickBot="1">
      <c r="A82" s="176" t="s">
        <v>66</v>
      </c>
      <c r="B82" s="177"/>
      <c r="C82" s="177"/>
      <c r="D82" s="177"/>
      <c r="E82" s="264"/>
      <c r="F82" s="265"/>
      <c r="G82" s="266"/>
      <c r="H82" s="177"/>
      <c r="I82" s="267"/>
      <c r="J82" s="268">
        <f>J67+J70+J71+J79+J80-J81</f>
        <v>9291.082166666665</v>
      </c>
    </row>
    <row r="83" ht="13.5" thickTop="1"/>
  </sheetData>
  <sheetProtection sheet="1" objects="1" scenarios="1"/>
  <printOptions/>
  <pageMargins left="1.1811023622047245" right="0.7874015748031497" top="0.7874015748031497" bottom="0.5905511811023623" header="0" footer="0"/>
  <pageSetup fitToHeight="1" fitToWidth="1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35.7109375" style="2" customWidth="1"/>
    <col min="2" max="2" width="7.7109375" style="2" customWidth="1"/>
    <col min="3" max="3" width="11.00390625" style="2" customWidth="1"/>
    <col min="4" max="5" width="9.7109375" style="2" customWidth="1"/>
    <col min="6" max="6" width="6.421875" style="2" customWidth="1"/>
    <col min="7" max="7" width="9.7109375" style="2" customWidth="1"/>
    <col min="8" max="8" width="7.7109375" style="2" customWidth="1"/>
    <col min="9" max="9" width="9.8515625" style="2" customWidth="1"/>
    <col min="10" max="10" width="9.7109375" style="2" customWidth="1"/>
    <col min="11" max="11" width="10.7109375" style="2" customWidth="1"/>
    <col min="12" max="12" width="7.7109375" style="2" customWidth="1"/>
    <col min="13" max="13" width="8.7109375" style="2" customWidth="1"/>
    <col min="14" max="16384" width="11.421875" style="2" customWidth="1"/>
  </cols>
  <sheetData>
    <row r="1" spans="1:13" ht="12.75">
      <c r="A1" s="167" t="s">
        <v>476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213" t="s">
        <v>538</v>
      </c>
      <c r="M1" s="371">
        <f ca="1">TODAY()</f>
        <v>39069</v>
      </c>
    </row>
    <row r="2" spans="1:13" ht="12.75">
      <c r="A2" s="170" t="s">
        <v>69</v>
      </c>
      <c r="B2" s="381" t="s">
        <v>12</v>
      </c>
      <c r="C2" s="381"/>
      <c r="D2" s="171" t="s">
        <v>13</v>
      </c>
      <c r="E2" s="171" t="s">
        <v>70</v>
      </c>
      <c r="F2" s="171" t="s">
        <v>101</v>
      </c>
      <c r="G2" s="171" t="s">
        <v>71</v>
      </c>
      <c r="H2" s="381" t="s">
        <v>72</v>
      </c>
      <c r="I2" s="381"/>
      <c r="J2" s="171" t="s">
        <v>39</v>
      </c>
      <c r="K2" s="381" t="s">
        <v>314</v>
      </c>
      <c r="L2" s="381"/>
      <c r="M2" s="382"/>
    </row>
    <row r="3" spans="1:13" ht="12.75">
      <c r="A3" s="172"/>
      <c r="B3" s="173"/>
      <c r="C3" s="173"/>
      <c r="D3" s="174" t="s">
        <v>241</v>
      </c>
      <c r="E3" s="173"/>
      <c r="F3" s="173"/>
      <c r="G3" s="174" t="s">
        <v>73</v>
      </c>
      <c r="H3" s="174" t="s">
        <v>74</v>
      </c>
      <c r="I3" s="174" t="s">
        <v>75</v>
      </c>
      <c r="J3" s="174" t="s">
        <v>75</v>
      </c>
      <c r="K3" s="383" t="s">
        <v>76</v>
      </c>
      <c r="L3" s="383"/>
      <c r="M3" s="175" t="s">
        <v>75</v>
      </c>
    </row>
    <row r="4" spans="1:13" ht="12.75">
      <c r="A4" s="176" t="s">
        <v>77</v>
      </c>
      <c r="B4" s="10">
        <v>1</v>
      </c>
      <c r="C4" s="177" t="s">
        <v>32</v>
      </c>
      <c r="D4" s="212">
        <v>15000</v>
      </c>
      <c r="E4" s="178"/>
      <c r="F4" s="178"/>
      <c r="G4" s="178">
        <f>B4*D4</f>
        <v>15000</v>
      </c>
      <c r="H4" s="177"/>
      <c r="I4" s="177"/>
      <c r="J4" s="216">
        <f>G4*$D$43</f>
        <v>750</v>
      </c>
      <c r="K4" s="177"/>
      <c r="L4" s="177"/>
      <c r="M4" s="180"/>
    </row>
    <row r="5" spans="1:13" ht="12.75">
      <c r="A5" s="181" t="s">
        <v>78</v>
      </c>
      <c r="B5" s="182"/>
      <c r="C5" s="182"/>
      <c r="D5" s="182"/>
      <c r="E5" s="183"/>
      <c r="F5" s="182"/>
      <c r="G5" s="182"/>
      <c r="H5" s="182"/>
      <c r="I5" s="182"/>
      <c r="J5" s="179"/>
      <c r="K5" s="182"/>
      <c r="L5" s="182"/>
      <c r="M5" s="184"/>
    </row>
    <row r="6" spans="1:13" ht="12.75">
      <c r="A6" s="185" t="s">
        <v>38</v>
      </c>
      <c r="B6" s="186">
        <f>SQRT(B4*10000)*4</f>
        <v>400</v>
      </c>
      <c r="C6" s="187" t="s">
        <v>64</v>
      </c>
      <c r="D6" s="192">
        <v>5</v>
      </c>
      <c r="E6" s="189">
        <f aca="true" t="shared" si="0" ref="E6:E12">B6*D6</f>
        <v>2000</v>
      </c>
      <c r="F6" s="190">
        <v>0</v>
      </c>
      <c r="G6" s="188">
        <f aca="true" t="shared" si="1" ref="G6:G12">(E6+E6*F6)/2</f>
        <v>1000</v>
      </c>
      <c r="H6" s="21">
        <v>30</v>
      </c>
      <c r="I6" s="179">
        <f aca="true" t="shared" si="2" ref="I6:I12">(E6-E6*F6)/H6</f>
        <v>66.66666666666667</v>
      </c>
      <c r="J6" s="179">
        <f>(E6+E6*F6)/2*$G$43</f>
        <v>60</v>
      </c>
      <c r="K6" s="13">
        <v>0.02</v>
      </c>
      <c r="L6" s="179" t="s">
        <v>107</v>
      </c>
      <c r="M6" s="191">
        <f aca="true" t="shared" si="3" ref="M6:M12">E6*K6</f>
        <v>40</v>
      </c>
    </row>
    <row r="7" spans="1:13" ht="12.75">
      <c r="A7" s="185" t="s">
        <v>258</v>
      </c>
      <c r="B7" s="272">
        <f>Implantación!E4</f>
        <v>1.2</v>
      </c>
      <c r="C7" s="187" t="s">
        <v>32</v>
      </c>
      <c r="D7" s="188">
        <f>Implantación!J82</f>
        <v>9291.082166666665</v>
      </c>
      <c r="E7" s="188">
        <f>B7*D7</f>
        <v>11149.298599999998</v>
      </c>
      <c r="F7" s="190">
        <v>0</v>
      </c>
      <c r="G7" s="188">
        <f>(E7+E7*F7)/2</f>
        <v>5574.649299999999</v>
      </c>
      <c r="H7" s="187">
        <f>Implantación!E6</f>
        <v>20</v>
      </c>
      <c r="I7" s="179">
        <f>(E7-E7*F7)/H7</f>
        <v>557.4649299999999</v>
      </c>
      <c r="J7" s="179">
        <f aca="true" t="shared" si="4" ref="J7:J12">(E7+E7*F7)/2*$G$43</f>
        <v>334.4789579999999</v>
      </c>
      <c r="K7" s="13">
        <v>0</v>
      </c>
      <c r="L7" s="179" t="s">
        <v>107</v>
      </c>
      <c r="M7" s="191">
        <f>E7*K7</f>
        <v>0</v>
      </c>
    </row>
    <row r="8" spans="1:13" ht="12.75">
      <c r="A8" s="185" t="s">
        <v>240</v>
      </c>
      <c r="B8" s="103">
        <v>5</v>
      </c>
      <c r="C8" s="187" t="s">
        <v>79</v>
      </c>
      <c r="D8" s="16">
        <v>300</v>
      </c>
      <c r="E8" s="189">
        <f t="shared" si="0"/>
        <v>1500</v>
      </c>
      <c r="F8" s="190">
        <v>0</v>
      </c>
      <c r="G8" s="188">
        <f t="shared" si="1"/>
        <v>750</v>
      </c>
      <c r="H8" s="12">
        <v>30</v>
      </c>
      <c r="I8" s="179">
        <f>IF(Cria!G1="Incubación",(E8-E8*F8)/H8,0)</f>
        <v>0</v>
      </c>
      <c r="J8" s="179">
        <f>IF(Cria!G1="Incubación",(E8+E8*F8)/2*$G$43,0)</f>
        <v>0</v>
      </c>
      <c r="K8" s="13">
        <v>0.01</v>
      </c>
      <c r="L8" s="179" t="s">
        <v>107</v>
      </c>
      <c r="M8" s="191">
        <f>IF(Cria!G1="Incubación",E8*K8,0)</f>
        <v>0</v>
      </c>
    </row>
    <row r="9" spans="1:13" ht="12.75">
      <c r="A9" s="185" t="s">
        <v>90</v>
      </c>
      <c r="B9" s="16">
        <v>225</v>
      </c>
      <c r="C9" s="187" t="s">
        <v>79</v>
      </c>
      <c r="D9" s="16">
        <v>200</v>
      </c>
      <c r="E9" s="188">
        <f t="shared" si="0"/>
        <v>45000</v>
      </c>
      <c r="F9" s="190">
        <v>0</v>
      </c>
      <c r="G9" s="188">
        <f t="shared" si="1"/>
        <v>22500</v>
      </c>
      <c r="H9" s="12">
        <v>30</v>
      </c>
      <c r="I9" s="179">
        <f t="shared" si="2"/>
        <v>1500</v>
      </c>
      <c r="J9" s="179">
        <f t="shared" si="4"/>
        <v>1350</v>
      </c>
      <c r="K9" s="13">
        <v>0.01</v>
      </c>
      <c r="L9" s="179" t="s">
        <v>107</v>
      </c>
      <c r="M9" s="191">
        <f t="shared" si="3"/>
        <v>450</v>
      </c>
    </row>
    <row r="10" spans="1:13" ht="12.75">
      <c r="A10" s="185" t="s">
        <v>91</v>
      </c>
      <c r="B10" s="16">
        <v>20</v>
      </c>
      <c r="C10" s="187" t="s">
        <v>79</v>
      </c>
      <c r="D10" s="16">
        <v>100</v>
      </c>
      <c r="E10" s="188">
        <f t="shared" si="0"/>
        <v>2000</v>
      </c>
      <c r="F10" s="190">
        <v>0</v>
      </c>
      <c r="G10" s="188">
        <f t="shared" si="1"/>
        <v>1000</v>
      </c>
      <c r="H10" s="12">
        <v>15</v>
      </c>
      <c r="I10" s="179">
        <f t="shared" si="2"/>
        <v>133.33333333333334</v>
      </c>
      <c r="J10" s="179">
        <f t="shared" si="4"/>
        <v>60</v>
      </c>
      <c r="K10" s="13">
        <v>0</v>
      </c>
      <c r="L10" s="179" t="s">
        <v>107</v>
      </c>
      <c r="M10" s="191">
        <f t="shared" si="3"/>
        <v>0</v>
      </c>
    </row>
    <row r="11" spans="1:13" ht="12.75">
      <c r="A11" s="185" t="s">
        <v>92</v>
      </c>
      <c r="B11" s="16">
        <v>5</v>
      </c>
      <c r="C11" s="187" t="s">
        <v>79</v>
      </c>
      <c r="D11" s="16">
        <v>200</v>
      </c>
      <c r="E11" s="188">
        <f t="shared" si="0"/>
        <v>1000</v>
      </c>
      <c r="F11" s="190">
        <v>0</v>
      </c>
      <c r="G11" s="188">
        <f t="shared" si="1"/>
        <v>500</v>
      </c>
      <c r="H11" s="12">
        <v>30</v>
      </c>
      <c r="I11" s="179">
        <f t="shared" si="2"/>
        <v>33.333333333333336</v>
      </c>
      <c r="J11" s="179">
        <f t="shared" si="4"/>
        <v>30</v>
      </c>
      <c r="K11" s="13">
        <v>0.01</v>
      </c>
      <c r="L11" s="179" t="s">
        <v>107</v>
      </c>
      <c r="M11" s="191">
        <f t="shared" si="3"/>
        <v>10</v>
      </c>
    </row>
    <row r="12" spans="1:13" ht="12.75">
      <c r="A12" s="187" t="s">
        <v>81</v>
      </c>
      <c r="B12" s="16">
        <v>1</v>
      </c>
      <c r="C12" s="187" t="s">
        <v>80</v>
      </c>
      <c r="D12" s="16">
        <v>1000</v>
      </c>
      <c r="E12" s="188">
        <f t="shared" si="0"/>
        <v>1000</v>
      </c>
      <c r="F12" s="190">
        <v>0</v>
      </c>
      <c r="G12" s="188">
        <f t="shared" si="1"/>
        <v>500</v>
      </c>
      <c r="H12" s="12">
        <v>30</v>
      </c>
      <c r="I12" s="179">
        <f t="shared" si="2"/>
        <v>33.333333333333336</v>
      </c>
      <c r="J12" s="179">
        <f t="shared" si="4"/>
        <v>30</v>
      </c>
      <c r="K12" s="13">
        <v>0.01</v>
      </c>
      <c r="L12" s="179" t="s">
        <v>107</v>
      </c>
      <c r="M12" s="191">
        <f t="shared" si="3"/>
        <v>10</v>
      </c>
    </row>
    <row r="13" spans="1:13" ht="12.75">
      <c r="A13" s="193" t="s">
        <v>93</v>
      </c>
      <c r="B13" s="192"/>
      <c r="C13" s="187"/>
      <c r="D13" s="188"/>
      <c r="E13" s="190"/>
      <c r="F13" s="190"/>
      <c r="G13" s="188"/>
      <c r="H13" s="187"/>
      <c r="I13" s="179"/>
      <c r="J13" s="179"/>
      <c r="K13" s="187"/>
      <c r="L13" s="187"/>
      <c r="M13" s="191"/>
    </row>
    <row r="14" spans="1:13" ht="12.75">
      <c r="A14" s="185" t="str">
        <f>"Bomba de agua "&amp;Datos!D28&amp;" l/h"</f>
        <v>Bomba de agua 2000 l/h</v>
      </c>
      <c r="B14" s="16">
        <v>1</v>
      </c>
      <c r="C14" s="187" t="s">
        <v>80</v>
      </c>
      <c r="D14" s="16">
        <v>500</v>
      </c>
      <c r="E14" s="188">
        <f>B14*D14</f>
        <v>500</v>
      </c>
      <c r="F14" s="9">
        <v>0</v>
      </c>
      <c r="G14" s="188">
        <f>(E14+E14*F14)/2</f>
        <v>250</v>
      </c>
      <c r="H14" s="12">
        <v>15</v>
      </c>
      <c r="I14" s="179">
        <f>(E14-E14*F14)/H14</f>
        <v>33.333333333333336</v>
      </c>
      <c r="J14" s="179">
        <f>(E14+E14*F14)/2*$J$43</f>
        <v>20</v>
      </c>
      <c r="K14" s="12">
        <v>0.0001</v>
      </c>
      <c r="L14" s="187" t="s">
        <v>108</v>
      </c>
      <c r="M14" s="191">
        <f>D14*K14</f>
        <v>0.05</v>
      </c>
    </row>
    <row r="15" spans="1:13" ht="12.75">
      <c r="A15" s="185" t="s">
        <v>214</v>
      </c>
      <c r="B15" s="16">
        <v>30</v>
      </c>
      <c r="C15" s="187" t="s">
        <v>80</v>
      </c>
      <c r="D15" s="16">
        <v>10</v>
      </c>
      <c r="E15" s="188">
        <f>B15*D15</f>
        <v>300</v>
      </c>
      <c r="F15" s="9">
        <v>0</v>
      </c>
      <c r="G15" s="188">
        <f>(E15+E15*F15)/2</f>
        <v>150</v>
      </c>
      <c r="H15" s="12">
        <v>5</v>
      </c>
      <c r="I15" s="179">
        <f>(E15-E15*F15)/H15</f>
        <v>60</v>
      </c>
      <c r="J15" s="179">
        <f>(E15+E15*F15)/2*$J$43</f>
        <v>12</v>
      </c>
      <c r="K15" s="12">
        <v>0</v>
      </c>
      <c r="L15" s="179" t="s">
        <v>107</v>
      </c>
      <c r="M15" s="191">
        <f>E15*K15</f>
        <v>0</v>
      </c>
    </row>
    <row r="16" spans="1:13" ht="12.75">
      <c r="A16" s="185" t="s">
        <v>526</v>
      </c>
      <c r="B16" s="102">
        <f>ROUNDUP(B15/5,0)</f>
        <v>6</v>
      </c>
      <c r="C16" s="187" t="s">
        <v>80</v>
      </c>
      <c r="D16" s="16">
        <v>80</v>
      </c>
      <c r="E16" s="188">
        <f>B16*D16</f>
        <v>480</v>
      </c>
      <c r="F16" s="9">
        <v>0</v>
      </c>
      <c r="G16" s="188">
        <f>(E16+E16*F16)/2</f>
        <v>240</v>
      </c>
      <c r="H16" s="12">
        <v>10</v>
      </c>
      <c r="I16" s="179">
        <f>(E16-E16*F16)/H16</f>
        <v>48</v>
      </c>
      <c r="J16" s="179">
        <f>(E16+E16*F16)/2*$J$43</f>
        <v>19.2</v>
      </c>
      <c r="K16" s="12">
        <v>0</v>
      </c>
      <c r="L16" s="179" t="s">
        <v>107</v>
      </c>
      <c r="M16" s="191">
        <f>E16*K16</f>
        <v>0</v>
      </c>
    </row>
    <row r="17" spans="1:13" ht="12.75">
      <c r="A17" s="185" t="s">
        <v>217</v>
      </c>
      <c r="B17" s="16">
        <v>150</v>
      </c>
      <c r="C17" s="187" t="s">
        <v>79</v>
      </c>
      <c r="D17" s="16">
        <v>0</v>
      </c>
      <c r="E17" s="188">
        <f>B17*D17</f>
        <v>0</v>
      </c>
      <c r="F17" s="9">
        <v>0</v>
      </c>
      <c r="G17" s="188">
        <f>(E17+E17*F17)/2</f>
        <v>0</v>
      </c>
      <c r="H17" s="21"/>
      <c r="I17" s="179"/>
      <c r="J17" s="179">
        <f>(E17+E17*F17)/2*$J$43</f>
        <v>0</v>
      </c>
      <c r="K17" s="12">
        <v>0</v>
      </c>
      <c r="L17" s="179" t="s">
        <v>107</v>
      </c>
      <c r="M17" s="191">
        <f>E17*K17</f>
        <v>0</v>
      </c>
    </row>
    <row r="18" spans="1:13" ht="12.75">
      <c r="A18" s="185" t="str">
        <f>IF('Requer.'!Y29="material natural","M"&amp;RIGHT('Requer.'!Y29,LEN('Requer.'!Y29)-1),"E"&amp;RIGHT('Requer.'!Y29,LEN('Requer.'!Y29)-1))</f>
        <v>Erizos de plástico</v>
      </c>
      <c r="B18" s="16">
        <v>240</v>
      </c>
      <c r="C18" s="90" t="str">
        <f>IF('Requer.'!Y29="material natural","m2","erizos")</f>
        <v>erizos</v>
      </c>
      <c r="D18" s="16">
        <v>5</v>
      </c>
      <c r="E18" s="188">
        <f>B18*D18</f>
        <v>1200</v>
      </c>
      <c r="F18" s="9">
        <v>0</v>
      </c>
      <c r="G18" s="188">
        <f>(E18+E18*F18)/2</f>
        <v>600</v>
      </c>
      <c r="H18" s="12">
        <v>20</v>
      </c>
      <c r="I18" s="179">
        <f>(E18-E18*F18)/H18</f>
        <v>60</v>
      </c>
      <c r="J18" s="179">
        <f>(E18+E18*F18)/2*$J$43</f>
        <v>48</v>
      </c>
      <c r="K18" s="12">
        <v>0</v>
      </c>
      <c r="L18" s="179" t="s">
        <v>107</v>
      </c>
      <c r="M18" s="191">
        <f>E18*K18</f>
        <v>0</v>
      </c>
    </row>
    <row r="19" spans="1:13" ht="12.75">
      <c r="A19" s="193" t="s">
        <v>216</v>
      </c>
      <c r="B19" s="192"/>
      <c r="C19" s="187"/>
      <c r="D19" s="192"/>
      <c r="E19" s="188"/>
      <c r="F19" s="194"/>
      <c r="G19" s="188"/>
      <c r="H19" s="21"/>
      <c r="I19" s="179"/>
      <c r="J19" s="179"/>
      <c r="K19" s="21"/>
      <c r="L19" s="179"/>
      <c r="M19" s="191"/>
    </row>
    <row r="20" spans="1:13" ht="12.75">
      <c r="A20" s="185" t="s">
        <v>218</v>
      </c>
      <c r="B20" s="16">
        <v>1</v>
      </c>
      <c r="C20" s="187" t="s">
        <v>80</v>
      </c>
      <c r="D20" s="16">
        <v>50</v>
      </c>
      <c r="E20" s="188">
        <f>B20*D20</f>
        <v>50</v>
      </c>
      <c r="F20" s="9">
        <v>0</v>
      </c>
      <c r="G20" s="188">
        <f>(E20+E20*F20)/2</f>
        <v>25</v>
      </c>
      <c r="H20" s="12">
        <v>5</v>
      </c>
      <c r="I20" s="179">
        <f>(E20-E20*F20)/H20</f>
        <v>10</v>
      </c>
      <c r="J20" s="179">
        <f>(E20+E20*F20)/2*$J$43</f>
        <v>2</v>
      </c>
      <c r="K20" s="12">
        <v>0</v>
      </c>
      <c r="L20" s="179" t="s">
        <v>107</v>
      </c>
      <c r="M20" s="191">
        <f>E20*K20</f>
        <v>0</v>
      </c>
    </row>
    <row r="21" spans="1:13" ht="12.75">
      <c r="A21" s="185" t="s">
        <v>219</v>
      </c>
      <c r="B21" s="16">
        <v>1</v>
      </c>
      <c r="C21" s="187" t="s">
        <v>80</v>
      </c>
      <c r="D21" s="16">
        <v>100</v>
      </c>
      <c r="E21" s="188">
        <f>B21*D21</f>
        <v>100</v>
      </c>
      <c r="F21" s="9">
        <v>0</v>
      </c>
      <c r="G21" s="188">
        <f>(E21+E21*F21)/2</f>
        <v>50</v>
      </c>
      <c r="H21" s="12">
        <v>5</v>
      </c>
      <c r="I21" s="179">
        <f>(E21-E21*F21)/H21</f>
        <v>20</v>
      </c>
      <c r="J21" s="179">
        <f>(E21+E21*F21)/2*$J$43</f>
        <v>4</v>
      </c>
      <c r="K21" s="12">
        <v>0</v>
      </c>
      <c r="L21" s="179" t="s">
        <v>107</v>
      </c>
      <c r="M21" s="191">
        <f>E21*K21</f>
        <v>0</v>
      </c>
    </row>
    <row r="22" spans="1:13" ht="12.75">
      <c r="A22" s="193" t="s">
        <v>361</v>
      </c>
      <c r="B22" s="192"/>
      <c r="C22" s="187"/>
      <c r="D22" s="192"/>
      <c r="E22" s="188"/>
      <c r="F22" s="194"/>
      <c r="G22" s="188"/>
      <c r="H22" s="21"/>
      <c r="I22" s="179"/>
      <c r="J22" s="179"/>
      <c r="K22" s="21"/>
      <c r="L22" s="179"/>
      <c r="M22" s="191"/>
    </row>
    <row r="23" spans="1:13" ht="12.75">
      <c r="A23" s="185" t="s">
        <v>344</v>
      </c>
      <c r="B23" s="16">
        <v>1</v>
      </c>
      <c r="C23" s="187" t="s">
        <v>80</v>
      </c>
      <c r="D23" s="16">
        <v>200</v>
      </c>
      <c r="E23" s="188">
        <f>B23*D23</f>
        <v>200</v>
      </c>
      <c r="F23" s="9">
        <v>0</v>
      </c>
      <c r="G23" s="188">
        <f>(E23+E23*F23)/2</f>
        <v>100</v>
      </c>
      <c r="H23" s="12">
        <v>10</v>
      </c>
      <c r="I23" s="179">
        <f>(E23-E23*F23)/H23</f>
        <v>20</v>
      </c>
      <c r="J23" s="179">
        <f>(E23+E23*F23)/2*$J$43</f>
        <v>8</v>
      </c>
      <c r="K23" s="12">
        <v>0.01</v>
      </c>
      <c r="L23" s="179" t="s">
        <v>107</v>
      </c>
      <c r="M23" s="191">
        <f>E23*K23</f>
        <v>2</v>
      </c>
    </row>
    <row r="24" spans="1:13" ht="12.75">
      <c r="A24" s="185" t="s">
        <v>345</v>
      </c>
      <c r="B24" s="16">
        <v>0</v>
      </c>
      <c r="C24" s="187" t="s">
        <v>80</v>
      </c>
      <c r="D24" s="16">
        <v>300</v>
      </c>
      <c r="E24" s="188">
        <f>B24*D24</f>
        <v>0</v>
      </c>
      <c r="F24" s="9">
        <v>0</v>
      </c>
      <c r="G24" s="188">
        <f>(E24+E24*F24)/2</f>
        <v>0</v>
      </c>
      <c r="H24" s="12">
        <v>10</v>
      </c>
      <c r="I24" s="179">
        <f>(E24-E24*F24)/H24</f>
        <v>0</v>
      </c>
      <c r="J24" s="179">
        <f>(E24+E24*F24)/2*$J$43</f>
        <v>0</v>
      </c>
      <c r="K24" s="12">
        <v>0</v>
      </c>
      <c r="L24" s="179" t="s">
        <v>107</v>
      </c>
      <c r="M24" s="191">
        <f>E24*K24</f>
        <v>0</v>
      </c>
    </row>
    <row r="25" spans="1:13" ht="12.75">
      <c r="A25" s="193" t="s">
        <v>99</v>
      </c>
      <c r="B25" s="192"/>
      <c r="C25" s="187"/>
      <c r="D25" s="192"/>
      <c r="E25" s="188"/>
      <c r="F25" s="194"/>
      <c r="G25" s="188"/>
      <c r="H25" s="21"/>
      <c r="I25" s="179"/>
      <c r="J25" s="179"/>
      <c r="K25" s="21"/>
      <c r="L25" s="21"/>
      <c r="M25" s="191"/>
    </row>
    <row r="26" spans="1:13" ht="12.75">
      <c r="A26" s="185" t="s">
        <v>100</v>
      </c>
      <c r="B26" s="16">
        <v>1</v>
      </c>
      <c r="C26" s="187" t="s">
        <v>80</v>
      </c>
      <c r="D26" s="16">
        <v>300</v>
      </c>
      <c r="E26" s="188">
        <f>B26*D26</f>
        <v>300</v>
      </c>
      <c r="F26" s="9">
        <v>0</v>
      </c>
      <c r="G26" s="188">
        <f>(E26+E26*F26)/2</f>
        <v>150</v>
      </c>
      <c r="H26" s="12">
        <v>10</v>
      </c>
      <c r="I26" s="179">
        <f>(E26-E26*F26)/H26</f>
        <v>30</v>
      </c>
      <c r="J26" s="179">
        <f>(E26+E26*F26)/2*$J$43</f>
        <v>12</v>
      </c>
      <c r="K26" s="12">
        <v>0</v>
      </c>
      <c r="L26" s="179" t="s">
        <v>107</v>
      </c>
      <c r="M26" s="191">
        <f>E26*K26</f>
        <v>0</v>
      </c>
    </row>
    <row r="27" spans="1:13" ht="12.75">
      <c r="A27" s="185" t="s">
        <v>223</v>
      </c>
      <c r="B27" s="16">
        <v>1</v>
      </c>
      <c r="C27" s="187" t="s">
        <v>80</v>
      </c>
      <c r="D27" s="16">
        <v>100</v>
      </c>
      <c r="E27" s="188">
        <f>B27*D27</f>
        <v>100</v>
      </c>
      <c r="F27" s="9">
        <v>0</v>
      </c>
      <c r="G27" s="188">
        <f>(E27+E27*F27)/2</f>
        <v>50</v>
      </c>
      <c r="H27" s="12">
        <v>10</v>
      </c>
      <c r="I27" s="179">
        <f>(E27-E27*F27)/H27</f>
        <v>10</v>
      </c>
      <c r="J27" s="179">
        <f>(E27+E27*F27)/2*$J$43</f>
        <v>4</v>
      </c>
      <c r="K27" s="12">
        <v>0</v>
      </c>
      <c r="L27" s="179" t="s">
        <v>107</v>
      </c>
      <c r="M27" s="191">
        <f>E27*K27</f>
        <v>0</v>
      </c>
    </row>
    <row r="28" spans="1:13" ht="12.75">
      <c r="A28" s="185" t="s">
        <v>82</v>
      </c>
      <c r="B28" s="9">
        <v>0.1</v>
      </c>
      <c r="C28" s="187" t="s">
        <v>83</v>
      </c>
      <c r="D28" s="16">
        <v>40000</v>
      </c>
      <c r="E28" s="188">
        <f>B28*D28</f>
        <v>4000</v>
      </c>
      <c r="F28" s="9">
        <v>0.3</v>
      </c>
      <c r="G28" s="188">
        <f>(E28+E28*F28)/2</f>
        <v>2600</v>
      </c>
      <c r="H28" s="12">
        <v>15</v>
      </c>
      <c r="I28" s="179">
        <f>(E28-E28*F28)/H28</f>
        <v>186.66666666666666</v>
      </c>
      <c r="J28" s="179">
        <f>(E28+E28*F28)/2*$J$43</f>
        <v>208</v>
      </c>
      <c r="K28" s="12">
        <v>5E-06</v>
      </c>
      <c r="L28" s="187" t="s">
        <v>109</v>
      </c>
      <c r="M28" s="191">
        <f>D28*K28</f>
        <v>0.2</v>
      </c>
    </row>
    <row r="29" spans="1:13" ht="12.75">
      <c r="A29" s="193" t="s">
        <v>95</v>
      </c>
      <c r="B29" s="21"/>
      <c r="C29" s="187"/>
      <c r="D29" s="188"/>
      <c r="E29" s="188"/>
      <c r="F29" s="194"/>
      <c r="G29" s="188"/>
      <c r="H29" s="21"/>
      <c r="I29" s="188"/>
      <c r="J29" s="179"/>
      <c r="K29" s="187"/>
      <c r="L29" s="187"/>
      <c r="M29" s="191"/>
    </row>
    <row r="30" spans="1:13" ht="12.75">
      <c r="A30" s="185" t="s">
        <v>224</v>
      </c>
      <c r="B30" s="16">
        <v>2</v>
      </c>
      <c r="C30" s="187" t="s">
        <v>80</v>
      </c>
      <c r="D30" s="16">
        <v>50</v>
      </c>
      <c r="E30" s="188">
        <f aca="true" t="shared" si="5" ref="E30:E36">B30*D30</f>
        <v>100</v>
      </c>
      <c r="F30" s="9">
        <v>0</v>
      </c>
      <c r="G30" s="188">
        <f aca="true" t="shared" si="6" ref="G30:G36">(E30+E30*F30)/2</f>
        <v>50</v>
      </c>
      <c r="H30" s="12">
        <v>5</v>
      </c>
      <c r="I30" s="179">
        <f aca="true" t="shared" si="7" ref="I30:I36">(E30-E30*F30)/H30</f>
        <v>20</v>
      </c>
      <c r="J30" s="179">
        <f aca="true" t="shared" si="8" ref="J30:J36">(E30+E30*F30)/2*$J$43</f>
        <v>4</v>
      </c>
      <c r="K30" s="12">
        <v>0</v>
      </c>
      <c r="L30" s="179" t="s">
        <v>107</v>
      </c>
      <c r="M30" s="191">
        <f aca="true" t="shared" si="9" ref="M30:M36">E30*K30</f>
        <v>0</v>
      </c>
    </row>
    <row r="31" spans="1:13" ht="12.75">
      <c r="A31" s="185" t="s">
        <v>96</v>
      </c>
      <c r="B31" s="16">
        <v>2</v>
      </c>
      <c r="C31" s="187" t="s">
        <v>80</v>
      </c>
      <c r="D31" s="16">
        <v>30</v>
      </c>
      <c r="E31" s="186">
        <f t="shared" si="5"/>
        <v>60</v>
      </c>
      <c r="F31" s="9">
        <v>0</v>
      </c>
      <c r="G31" s="188">
        <f t="shared" si="6"/>
        <v>30</v>
      </c>
      <c r="H31" s="12">
        <v>5</v>
      </c>
      <c r="I31" s="179">
        <f t="shared" si="7"/>
        <v>12</v>
      </c>
      <c r="J31" s="179">
        <f t="shared" si="8"/>
        <v>2.4</v>
      </c>
      <c r="K31" s="12">
        <v>0</v>
      </c>
      <c r="L31" s="179" t="s">
        <v>107</v>
      </c>
      <c r="M31" s="191">
        <f t="shared" si="9"/>
        <v>0</v>
      </c>
    </row>
    <row r="32" spans="1:13" ht="12.75">
      <c r="A32" s="185" t="s">
        <v>97</v>
      </c>
      <c r="B32" s="16">
        <v>2</v>
      </c>
      <c r="C32" s="187" t="s">
        <v>80</v>
      </c>
      <c r="D32" s="16">
        <v>30</v>
      </c>
      <c r="E32" s="186">
        <f t="shared" si="5"/>
        <v>60</v>
      </c>
      <c r="F32" s="9">
        <v>0</v>
      </c>
      <c r="G32" s="188">
        <f t="shared" si="6"/>
        <v>30</v>
      </c>
      <c r="H32" s="12">
        <v>5</v>
      </c>
      <c r="I32" s="179">
        <f t="shared" si="7"/>
        <v>12</v>
      </c>
      <c r="J32" s="179">
        <f t="shared" si="8"/>
        <v>2.4</v>
      </c>
      <c r="K32" s="12">
        <v>0</v>
      </c>
      <c r="L32" s="179" t="s">
        <v>107</v>
      </c>
      <c r="M32" s="191">
        <f t="shared" si="9"/>
        <v>0</v>
      </c>
    </row>
    <row r="33" spans="1:13" ht="12.75">
      <c r="A33" s="185" t="s">
        <v>98</v>
      </c>
      <c r="B33" s="16">
        <v>3</v>
      </c>
      <c r="C33" s="187" t="s">
        <v>80</v>
      </c>
      <c r="D33" s="16">
        <v>10</v>
      </c>
      <c r="E33" s="186">
        <f t="shared" si="5"/>
        <v>30</v>
      </c>
      <c r="F33" s="9">
        <v>0</v>
      </c>
      <c r="G33" s="188">
        <f t="shared" si="6"/>
        <v>15</v>
      </c>
      <c r="H33" s="12">
        <v>5</v>
      </c>
      <c r="I33" s="179">
        <f t="shared" si="7"/>
        <v>6</v>
      </c>
      <c r="J33" s="179">
        <f t="shared" si="8"/>
        <v>1.2</v>
      </c>
      <c r="K33" s="12">
        <v>0</v>
      </c>
      <c r="L33" s="179" t="s">
        <v>107</v>
      </c>
      <c r="M33" s="191">
        <f t="shared" si="9"/>
        <v>0</v>
      </c>
    </row>
    <row r="34" spans="1:13" ht="12.75">
      <c r="A34" s="185" t="s">
        <v>110</v>
      </c>
      <c r="B34" s="16">
        <v>1</v>
      </c>
      <c r="C34" s="187" t="s">
        <v>80</v>
      </c>
      <c r="D34" s="16">
        <v>200</v>
      </c>
      <c r="E34" s="188">
        <f t="shared" si="5"/>
        <v>200</v>
      </c>
      <c r="F34" s="9">
        <v>0</v>
      </c>
      <c r="G34" s="188">
        <f t="shared" si="6"/>
        <v>100</v>
      </c>
      <c r="H34" s="12">
        <v>10</v>
      </c>
      <c r="I34" s="179">
        <f t="shared" si="7"/>
        <v>20</v>
      </c>
      <c r="J34" s="179">
        <f t="shared" si="8"/>
        <v>8</v>
      </c>
      <c r="K34" s="12">
        <v>0.05</v>
      </c>
      <c r="L34" s="179" t="s">
        <v>107</v>
      </c>
      <c r="M34" s="191">
        <f t="shared" si="9"/>
        <v>10</v>
      </c>
    </row>
    <row r="35" spans="1:13" ht="12.75">
      <c r="A35" s="185" t="s">
        <v>103</v>
      </c>
      <c r="B35" s="16">
        <v>2</v>
      </c>
      <c r="C35" s="187" t="s">
        <v>80</v>
      </c>
      <c r="D35" s="16">
        <v>35</v>
      </c>
      <c r="E35" s="188">
        <f t="shared" si="5"/>
        <v>70</v>
      </c>
      <c r="F35" s="9">
        <v>0</v>
      </c>
      <c r="G35" s="188">
        <f t="shared" si="6"/>
        <v>35</v>
      </c>
      <c r="H35" s="12">
        <v>5</v>
      </c>
      <c r="I35" s="179">
        <f t="shared" si="7"/>
        <v>14</v>
      </c>
      <c r="J35" s="179">
        <f t="shared" si="8"/>
        <v>2.8000000000000003</v>
      </c>
      <c r="K35" s="12">
        <v>0</v>
      </c>
      <c r="L35" s="179" t="s">
        <v>107</v>
      </c>
      <c r="M35" s="191">
        <f t="shared" si="9"/>
        <v>0</v>
      </c>
    </row>
    <row r="36" spans="1:13" ht="12.75">
      <c r="A36" s="172" t="s">
        <v>84</v>
      </c>
      <c r="B36" s="17">
        <v>1</v>
      </c>
      <c r="C36" s="173" t="s">
        <v>85</v>
      </c>
      <c r="D36" s="17">
        <v>0</v>
      </c>
      <c r="E36" s="195">
        <f t="shared" si="5"/>
        <v>0</v>
      </c>
      <c r="F36" s="18">
        <v>0</v>
      </c>
      <c r="G36" s="188">
        <f t="shared" si="6"/>
        <v>0</v>
      </c>
      <c r="H36" s="15">
        <v>5</v>
      </c>
      <c r="I36" s="188">
        <f t="shared" si="7"/>
        <v>0</v>
      </c>
      <c r="J36" s="179">
        <f t="shared" si="8"/>
        <v>0</v>
      </c>
      <c r="K36" s="19">
        <v>0.01</v>
      </c>
      <c r="L36" s="196"/>
      <c r="M36" s="197">
        <f t="shared" si="9"/>
        <v>0</v>
      </c>
    </row>
    <row r="37" spans="1:13" ht="12.75">
      <c r="A37" s="181" t="s">
        <v>86</v>
      </c>
      <c r="B37" s="182"/>
      <c r="C37" s="182"/>
      <c r="D37" s="182"/>
      <c r="E37" s="187"/>
      <c r="F37" s="171" t="s">
        <v>106</v>
      </c>
      <c r="G37" s="188"/>
      <c r="H37" s="182"/>
      <c r="I37" s="187"/>
      <c r="J37" s="187"/>
      <c r="K37" s="182"/>
      <c r="L37" s="182"/>
      <c r="M37" s="184"/>
    </row>
    <row r="38" spans="1:13" ht="12.75">
      <c r="A38" s="185" t="s">
        <v>104</v>
      </c>
      <c r="B38" s="188">
        <f>Cria!E2*Cria!I2</f>
        <v>36</v>
      </c>
      <c r="C38" s="187" t="s">
        <v>105</v>
      </c>
      <c r="D38" s="198">
        <f>Datos!$J$39</f>
        <v>75</v>
      </c>
      <c r="E38" s="199"/>
      <c r="F38" s="347">
        <f>Cria!I3/2/365</f>
        <v>0.27945205479452057</v>
      </c>
      <c r="G38" s="188">
        <f>B38*D38*F38</f>
        <v>754.5205479452055</v>
      </c>
      <c r="H38" s="187"/>
      <c r="I38" s="187"/>
      <c r="J38" s="188">
        <f>G38*$M$43</f>
        <v>75.45205479452055</v>
      </c>
      <c r="K38" s="187"/>
      <c r="L38" s="187"/>
      <c r="M38" s="200"/>
    </row>
    <row r="39" spans="1:13" ht="12.75">
      <c r="A39" s="172"/>
      <c r="B39" s="195">
        <v>0</v>
      </c>
      <c r="C39" s="173"/>
      <c r="D39" s="173"/>
      <c r="E39" s="199"/>
      <c r="F39" s="15"/>
      <c r="G39" s="188"/>
      <c r="H39" s="173"/>
      <c r="I39" s="173"/>
      <c r="J39" s="188">
        <f>G39*$M$43</f>
        <v>0</v>
      </c>
      <c r="K39" s="173"/>
      <c r="L39" s="173"/>
      <c r="M39" s="201"/>
    </row>
    <row r="40" spans="1:13" ht="12.75">
      <c r="A40" s="202"/>
      <c r="B40" s="177"/>
      <c r="C40" s="177"/>
      <c r="D40" s="177" t="s">
        <v>87</v>
      </c>
      <c r="E40" s="178">
        <f>SUM(E4:E38)</f>
        <v>71399.2986</v>
      </c>
      <c r="F40" s="177"/>
      <c r="G40" s="178">
        <f>SUM(G4:G39)</f>
        <v>52054.1698479452</v>
      </c>
      <c r="H40" s="177"/>
      <c r="I40" s="178">
        <f>SUM(I4:I39)</f>
        <v>2886.131596666667</v>
      </c>
      <c r="J40" s="178">
        <f>SUM(J4:J39)</f>
        <v>3047.93101279452</v>
      </c>
      <c r="K40" s="178"/>
      <c r="L40" s="203" t="s">
        <v>111</v>
      </c>
      <c r="M40" s="204">
        <f>SUMIF(L6:L36,"1/año",M6:M36)</f>
        <v>522</v>
      </c>
    </row>
    <row r="41" spans="1:13" ht="12.75">
      <c r="A41" s="187" t="s">
        <v>102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3" t="s">
        <v>545</v>
      </c>
      <c r="M41" s="378">
        <v>39052</v>
      </c>
    </row>
    <row r="42" spans="1:13" ht="12.75">
      <c r="A42" s="169" t="s">
        <v>88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</row>
    <row r="43" spans="1:13" ht="12.75">
      <c r="A43" s="205" t="s">
        <v>516</v>
      </c>
      <c r="C43" s="213" t="s">
        <v>517</v>
      </c>
      <c r="D43" s="214">
        <v>0.05</v>
      </c>
      <c r="E43" s="169"/>
      <c r="F43" s="213" t="s">
        <v>470</v>
      </c>
      <c r="G43" s="214">
        <v>0.06</v>
      </c>
      <c r="H43" s="169"/>
      <c r="I43" s="213" t="s">
        <v>471</v>
      </c>
      <c r="J43" s="214">
        <v>0.08</v>
      </c>
      <c r="L43" s="213" t="s">
        <v>472</v>
      </c>
      <c r="M43" s="214">
        <v>0.1</v>
      </c>
    </row>
    <row r="44" spans="1:13" ht="12.75">
      <c r="A44" s="205" t="str">
        <f>"La tasa promedio ponderada en esta cuenta capital es el "&amp;INT(J40/G40*10000)/100&amp;" %."</f>
        <v>La tasa promedio ponderada en esta cuenta capital es el 5,85 %.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</row>
    <row r="45" spans="1:13" ht="12.75">
      <c r="A45" s="205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</row>
    <row r="46" spans="1:13" ht="12.75">
      <c r="A46" s="167" t="s">
        <v>518</v>
      </c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213" t="s">
        <v>538</v>
      </c>
      <c r="M46" s="371">
        <f ca="1">TODAY()</f>
        <v>39069</v>
      </c>
    </row>
    <row r="47" spans="1:13" ht="12.75">
      <c r="A47" s="170" t="s">
        <v>69</v>
      </c>
      <c r="B47" s="381" t="s">
        <v>12</v>
      </c>
      <c r="C47" s="381"/>
      <c r="D47" s="171" t="s">
        <v>13</v>
      </c>
      <c r="E47" s="171" t="s">
        <v>70</v>
      </c>
      <c r="F47" s="171" t="s">
        <v>101</v>
      </c>
      <c r="G47" s="171" t="s">
        <v>71</v>
      </c>
      <c r="H47" s="381" t="s">
        <v>72</v>
      </c>
      <c r="I47" s="381"/>
      <c r="J47" s="171" t="s">
        <v>39</v>
      </c>
      <c r="K47" s="381" t="s">
        <v>314</v>
      </c>
      <c r="L47" s="381"/>
      <c r="M47" s="382"/>
    </row>
    <row r="48" spans="1:13" ht="12.75">
      <c r="A48" s="172"/>
      <c r="B48" s="173"/>
      <c r="C48" s="173"/>
      <c r="D48" s="174" t="s">
        <v>241</v>
      </c>
      <c r="E48" s="173"/>
      <c r="F48" s="173"/>
      <c r="G48" s="174" t="s">
        <v>73</v>
      </c>
      <c r="H48" s="174" t="s">
        <v>74</v>
      </c>
      <c r="I48" s="174" t="s">
        <v>75</v>
      </c>
      <c r="J48" s="174" t="s">
        <v>75</v>
      </c>
      <c r="K48" s="383" t="s">
        <v>76</v>
      </c>
      <c r="L48" s="383"/>
      <c r="M48" s="175" t="s">
        <v>75</v>
      </c>
    </row>
    <row r="49" spans="1:13" ht="12.75">
      <c r="A49" s="181" t="s">
        <v>78</v>
      </c>
      <c r="B49" s="182"/>
      <c r="C49" s="182"/>
      <c r="D49" s="182"/>
      <c r="E49" s="183"/>
      <c r="F49" s="182"/>
      <c r="G49" s="182"/>
      <c r="H49" s="182"/>
      <c r="I49" s="182"/>
      <c r="J49" s="179"/>
      <c r="K49" s="182"/>
      <c r="L49" s="182"/>
      <c r="M49" s="184"/>
    </row>
    <row r="50" spans="1:13" ht="12.75">
      <c r="A50" s="185" t="s">
        <v>341</v>
      </c>
      <c r="B50" s="16">
        <v>10</v>
      </c>
      <c r="C50" s="187" t="s">
        <v>79</v>
      </c>
      <c r="D50" s="16">
        <v>200</v>
      </c>
      <c r="E50" s="188">
        <f>B50*D50</f>
        <v>2000</v>
      </c>
      <c r="F50" s="190">
        <v>0</v>
      </c>
      <c r="G50" s="188">
        <f>(E50+E50*F50)/2</f>
        <v>1000</v>
      </c>
      <c r="H50" s="12">
        <v>30</v>
      </c>
      <c r="I50" s="179">
        <f>(E50-E50*F50)/H50</f>
        <v>66.66666666666667</v>
      </c>
      <c r="J50" s="179">
        <f>(E50+E50*F50)/2*$G$43</f>
        <v>60</v>
      </c>
      <c r="K50" s="13">
        <v>0.01</v>
      </c>
      <c r="L50" s="179" t="s">
        <v>107</v>
      </c>
      <c r="M50" s="191">
        <f>E50*K50</f>
        <v>20</v>
      </c>
    </row>
    <row r="51" spans="1:13" ht="12.75">
      <c r="A51" s="193" t="s">
        <v>93</v>
      </c>
      <c r="B51" s="192"/>
      <c r="C51" s="187"/>
      <c r="D51" s="188"/>
      <c r="E51" s="190"/>
      <c r="F51" s="190"/>
      <c r="G51" s="188"/>
      <c r="H51" s="187"/>
      <c r="I51" s="179"/>
      <c r="J51" s="179"/>
      <c r="K51" s="187"/>
      <c r="L51" s="187"/>
      <c r="M51" s="191"/>
    </row>
    <row r="52" spans="1:13" ht="12.75">
      <c r="A52" s="185" t="s">
        <v>342</v>
      </c>
      <c r="B52" s="16">
        <v>1</v>
      </c>
      <c r="C52" s="187" t="s">
        <v>80</v>
      </c>
      <c r="D52" s="16">
        <v>60</v>
      </c>
      <c r="E52" s="188">
        <f>B52*D52</f>
        <v>60</v>
      </c>
      <c r="F52" s="9">
        <v>0</v>
      </c>
      <c r="G52" s="188">
        <f>(E52+E52*F52)/2</f>
        <v>30</v>
      </c>
      <c r="H52" s="12">
        <v>10</v>
      </c>
      <c r="I52" s="179">
        <f>(E52-E52*F52)/H52</f>
        <v>6</v>
      </c>
      <c r="J52" s="179">
        <f>(E52+E52*F52)/2*$J$43</f>
        <v>2.4</v>
      </c>
      <c r="K52" s="12">
        <v>0</v>
      </c>
      <c r="L52" s="179" t="s">
        <v>107</v>
      </c>
      <c r="M52" s="191">
        <f>D52*K52</f>
        <v>0</v>
      </c>
    </row>
    <row r="53" spans="1:13" ht="12.75">
      <c r="A53" s="193" t="s">
        <v>343</v>
      </c>
      <c r="B53" s="192"/>
      <c r="C53" s="187"/>
      <c r="D53" s="192"/>
      <c r="E53" s="188"/>
      <c r="F53" s="194"/>
      <c r="G53" s="188"/>
      <c r="H53" s="21"/>
      <c r="I53" s="179"/>
      <c r="J53" s="179"/>
      <c r="K53" s="21"/>
      <c r="L53" s="179"/>
      <c r="M53" s="191"/>
    </row>
    <row r="54" spans="1:13" ht="12.75">
      <c r="A54" s="185" t="str">
        <f>"Devanadora ("&amp;Datos!J22&amp;" "&amp;Datos!K22&amp;")"</f>
        <v>Devanadora (1,7 kg cap./h)</v>
      </c>
      <c r="B54" s="16">
        <v>1</v>
      </c>
      <c r="C54" s="187" t="s">
        <v>80</v>
      </c>
      <c r="D54" s="16">
        <v>700</v>
      </c>
      <c r="E54" s="188">
        <f>B54*D54</f>
        <v>700</v>
      </c>
      <c r="F54" s="9">
        <v>0</v>
      </c>
      <c r="G54" s="188">
        <f>(E54+E54*F54)/2</f>
        <v>350</v>
      </c>
      <c r="H54" s="12">
        <v>10</v>
      </c>
      <c r="I54" s="179">
        <f>(E54-E54*F54)/H54</f>
        <v>70</v>
      </c>
      <c r="J54" s="179">
        <f>(E54+E54*F54)/2*$J$43</f>
        <v>28</v>
      </c>
      <c r="K54" s="12">
        <v>0.01</v>
      </c>
      <c r="L54" s="179" t="s">
        <v>107</v>
      </c>
      <c r="M54" s="191">
        <f>E54*K54</f>
        <v>7</v>
      </c>
    </row>
    <row r="55" spans="1:13" ht="12.75">
      <c r="A55" s="185" t="s">
        <v>346</v>
      </c>
      <c r="B55" s="16"/>
      <c r="C55" s="187" t="s">
        <v>80</v>
      </c>
      <c r="D55" s="16">
        <v>70</v>
      </c>
      <c r="E55" s="188">
        <f>B55*D55</f>
        <v>0</v>
      </c>
      <c r="F55" s="9">
        <v>0</v>
      </c>
      <c r="G55" s="188">
        <f>(E55+E55*F55)/2</f>
        <v>0</v>
      </c>
      <c r="H55" s="12">
        <v>10</v>
      </c>
      <c r="I55" s="179">
        <f>(E55-E55*F55)/H55</f>
        <v>0</v>
      </c>
      <c r="J55" s="179">
        <f>(E55+E55*F55)/2*$J$43</f>
        <v>0</v>
      </c>
      <c r="K55" s="12">
        <v>0</v>
      </c>
      <c r="L55" s="179" t="s">
        <v>107</v>
      </c>
      <c r="M55" s="191">
        <f>E55*K55</f>
        <v>0</v>
      </c>
    </row>
    <row r="56" spans="1:13" ht="12.75">
      <c r="A56" s="185" t="s">
        <v>347</v>
      </c>
      <c r="B56" s="16">
        <v>1</v>
      </c>
      <c r="C56" s="187" t="s">
        <v>80</v>
      </c>
      <c r="D56" s="16">
        <v>50</v>
      </c>
      <c r="E56" s="188">
        <f>B56*D56</f>
        <v>50</v>
      </c>
      <c r="F56" s="9">
        <v>0</v>
      </c>
      <c r="G56" s="188">
        <f>(E56+E56*F56)/2</f>
        <v>25</v>
      </c>
      <c r="H56" s="12">
        <v>10</v>
      </c>
      <c r="I56" s="179">
        <f>(E56-E56*F56)/H56</f>
        <v>5</v>
      </c>
      <c r="J56" s="179">
        <f>(E56+E56*F56)/2*$J$43</f>
        <v>2</v>
      </c>
      <c r="K56" s="12">
        <v>0</v>
      </c>
      <c r="L56" s="179" t="s">
        <v>107</v>
      </c>
      <c r="M56" s="191">
        <f>E56*K56</f>
        <v>0</v>
      </c>
    </row>
    <row r="57" spans="1:13" ht="12.75">
      <c r="A57" s="185" t="s">
        <v>348</v>
      </c>
      <c r="B57" s="192"/>
      <c r="C57" s="187" t="s">
        <v>80</v>
      </c>
      <c r="D57" s="16">
        <v>150</v>
      </c>
      <c r="E57" s="188">
        <f>B57*D57</f>
        <v>0</v>
      </c>
      <c r="F57" s="9">
        <v>0</v>
      </c>
      <c r="G57" s="188">
        <f>(E57+E57*F57)/2</f>
        <v>0</v>
      </c>
      <c r="H57" s="12">
        <v>10</v>
      </c>
      <c r="I57" s="179">
        <f>(E57-E57*F57)/H57</f>
        <v>0</v>
      </c>
      <c r="J57" s="179">
        <f>(E57+E57*F57)/2*$J$43</f>
        <v>0</v>
      </c>
      <c r="K57" s="12">
        <v>0</v>
      </c>
      <c r="L57" s="179" t="s">
        <v>107</v>
      </c>
      <c r="M57" s="191"/>
    </row>
    <row r="58" spans="1:13" ht="12.75">
      <c r="A58" s="193" t="s">
        <v>349</v>
      </c>
      <c r="B58" s="21"/>
      <c r="C58" s="187"/>
      <c r="D58" s="188"/>
      <c r="E58" s="188"/>
      <c r="F58" s="194"/>
      <c r="G58" s="188"/>
      <c r="H58" s="21"/>
      <c r="I58" s="188"/>
      <c r="J58" s="179"/>
      <c r="K58" s="187"/>
      <c r="L58" s="187"/>
      <c r="M58" s="191"/>
    </row>
    <row r="59" spans="1:13" ht="12.75">
      <c r="A59" s="185" t="s">
        <v>350</v>
      </c>
      <c r="B59" s="16">
        <v>1</v>
      </c>
      <c r="C59" s="187" t="s">
        <v>80</v>
      </c>
      <c r="D59" s="16">
        <v>35</v>
      </c>
      <c r="E59" s="188">
        <f>B59*D59</f>
        <v>35</v>
      </c>
      <c r="F59" s="9">
        <v>0</v>
      </c>
      <c r="G59" s="188">
        <f>(E59+E59*F59)/2</f>
        <v>17.5</v>
      </c>
      <c r="H59" s="12">
        <v>5</v>
      </c>
      <c r="I59" s="179">
        <f>(E59-E59*F59)/H59</f>
        <v>7</v>
      </c>
      <c r="J59" s="179">
        <f>(E59+E59*F59)/2*$J$43</f>
        <v>1.4000000000000001</v>
      </c>
      <c r="K59" s="12">
        <v>0</v>
      </c>
      <c r="L59" s="179" t="s">
        <v>107</v>
      </c>
      <c r="M59" s="191">
        <f>E59*K59</f>
        <v>0</v>
      </c>
    </row>
    <row r="60" spans="1:13" ht="12.75">
      <c r="A60" s="185" t="s">
        <v>352</v>
      </c>
      <c r="B60" s="16">
        <v>1</v>
      </c>
      <c r="C60" s="187" t="s">
        <v>80</v>
      </c>
      <c r="D60" s="16">
        <v>30</v>
      </c>
      <c r="E60" s="186">
        <f>B60*D60</f>
        <v>30</v>
      </c>
      <c r="F60" s="9">
        <v>0</v>
      </c>
      <c r="G60" s="188">
        <f>(E60+E60*F60)/2</f>
        <v>15</v>
      </c>
      <c r="H60" s="12">
        <v>5</v>
      </c>
      <c r="I60" s="179">
        <f>(E60-E60*F60)/H60</f>
        <v>6</v>
      </c>
      <c r="J60" s="179">
        <f>(E60+E60*F60)/2*$J$43</f>
        <v>1.2</v>
      </c>
      <c r="K60" s="12">
        <v>0</v>
      </c>
      <c r="L60" s="179" t="s">
        <v>107</v>
      </c>
      <c r="M60" s="191">
        <f>E60*K60</f>
        <v>0</v>
      </c>
    </row>
    <row r="61" spans="1:13" ht="12.75">
      <c r="A61" s="172" t="s">
        <v>351</v>
      </c>
      <c r="B61" s="17">
        <v>1</v>
      </c>
      <c r="C61" s="173" t="s">
        <v>85</v>
      </c>
      <c r="D61" s="17">
        <v>30</v>
      </c>
      <c r="E61" s="195">
        <f>B61*D61</f>
        <v>30</v>
      </c>
      <c r="F61" s="18">
        <v>0</v>
      </c>
      <c r="G61" s="188">
        <f>(E61+E61*F61)/2</f>
        <v>15</v>
      </c>
      <c r="H61" s="15">
        <v>5</v>
      </c>
      <c r="I61" s="206">
        <f>(E61-E61*F61)/H61</f>
        <v>6</v>
      </c>
      <c r="J61" s="179">
        <f>(E61+E61*F61)/2*$J$43</f>
        <v>1.2</v>
      </c>
      <c r="K61" s="19">
        <v>0.01</v>
      </c>
      <c r="L61" s="179" t="s">
        <v>107</v>
      </c>
      <c r="M61" s="197">
        <f>E61*K61</f>
        <v>0.3</v>
      </c>
    </row>
    <row r="62" spans="1:13" ht="12.75">
      <c r="A62" s="202"/>
      <c r="B62" s="177"/>
      <c r="C62" s="177"/>
      <c r="D62" s="177" t="s">
        <v>87</v>
      </c>
      <c r="E62" s="178">
        <f>SUM(E49:E61)</f>
        <v>2905</v>
      </c>
      <c r="F62" s="177"/>
      <c r="G62" s="178">
        <f>SUM(G49:G61)</f>
        <v>1452.5</v>
      </c>
      <c r="H62" s="177"/>
      <c r="I62" s="207">
        <f>SUM(I49:I61)</f>
        <v>166.66666666666669</v>
      </c>
      <c r="J62" s="207">
        <f>SUM(J49:J61)</f>
        <v>96.20000000000002</v>
      </c>
      <c r="K62" s="178"/>
      <c r="L62" s="203" t="s">
        <v>111</v>
      </c>
      <c r="M62" s="204">
        <f>SUMIF(L50:L61,"1/año",M50:M61)</f>
        <v>27.3</v>
      </c>
    </row>
    <row r="63" spans="1:13" ht="12.75">
      <c r="A63" s="187" t="s">
        <v>102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3" t="s">
        <v>545</v>
      </c>
      <c r="M63" s="378">
        <v>39052</v>
      </c>
    </row>
    <row r="64" spans="1:13" ht="12.75">
      <c r="A64" s="169" t="s">
        <v>88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  <row r="65" spans="1:13" ht="12.75">
      <c r="A65" s="205" t="str">
        <f>"Tasas utilizadas en el cálculo de intereses: ver Cuenta capital Cría gusano de seda. La tasa promedio ponderada en esta cuenta capital es el "&amp;INT(J62/G62*10000)/100&amp;" %."</f>
        <v>Tasas utilizadas en el cálculo de intereses: ver Cuenta capital Cría gusano de seda. La tasa promedio ponderada en esta cuenta capital es el 6,62 %.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</row>
  </sheetData>
  <sheetProtection sheet="1" objects="1" scenarios="1"/>
  <mergeCells count="8">
    <mergeCell ref="B47:C47"/>
    <mergeCell ref="H47:I47"/>
    <mergeCell ref="K47:M47"/>
    <mergeCell ref="K48:L48"/>
    <mergeCell ref="B2:C2"/>
    <mergeCell ref="H2:I2"/>
    <mergeCell ref="K2:M2"/>
    <mergeCell ref="K3:L3"/>
  </mergeCells>
  <conditionalFormatting sqref="B17">
    <cfRule type="cellIs" priority="1" dxfId="0" operator="greaterThan" stopIfTrue="1">
      <formula>$B$9</formula>
    </cfRule>
  </conditionalFormatting>
  <printOptions/>
  <pageMargins left="1.1811023622047245" right="0.7874015748031497" top="0.984251968503937" bottom="0.5905511811023623" header="0" footer="0"/>
  <pageSetup fitToHeight="1" fitToWidth="1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3.7109375" style="0" customWidth="1"/>
    <col min="3" max="3" width="30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1.7109375" style="0" customWidth="1"/>
    <col min="8" max="8" width="10.7109375" style="0" customWidth="1"/>
    <col min="9" max="9" width="14.7109375" style="0" customWidth="1"/>
    <col min="10" max="10" width="10.7109375" style="0" customWidth="1"/>
    <col min="11" max="11" width="0" style="0" hidden="1" customWidth="1"/>
  </cols>
  <sheetData>
    <row r="1" spans="1:11" ht="12.75">
      <c r="A1" s="1" t="s">
        <v>464</v>
      </c>
      <c r="F1" s="125" t="s">
        <v>479</v>
      </c>
      <c r="G1" s="340" t="s">
        <v>374</v>
      </c>
      <c r="H1" s="1" t="s">
        <v>105</v>
      </c>
      <c r="I1" s="372">
        <f ca="1">TODAY()</f>
        <v>39069</v>
      </c>
      <c r="K1" t="s">
        <v>374</v>
      </c>
    </row>
    <row r="2" spans="1:11" ht="12.75">
      <c r="A2" s="27"/>
      <c r="B2" s="95"/>
      <c r="C2" s="95"/>
      <c r="D2" s="96" t="s">
        <v>362</v>
      </c>
      <c r="E2" s="341">
        <v>6</v>
      </c>
      <c r="F2" s="95"/>
      <c r="G2" s="95"/>
      <c r="H2" s="96" t="s">
        <v>259</v>
      </c>
      <c r="I2" s="342">
        <v>6</v>
      </c>
      <c r="J2" s="104"/>
      <c r="K2" t="s">
        <v>150</v>
      </c>
    </row>
    <row r="3" spans="1:9" ht="12.75">
      <c r="A3" s="80"/>
      <c r="B3" s="4"/>
      <c r="C3" s="4"/>
      <c r="D3" s="83" t="s">
        <v>439</v>
      </c>
      <c r="E3" s="26">
        <f>IF($G$1="Incubación",SUM('Requer.'!F5:F15)+SUM('Requer.'!I25:I26),SUM('Requer.'!F7:F15)+SUM('Requer.'!I25:I26))</f>
        <v>34</v>
      </c>
      <c r="F3" s="4"/>
      <c r="G3" s="4"/>
      <c r="H3" s="83" t="s">
        <v>440</v>
      </c>
      <c r="I3" s="160">
        <f>E3*I2</f>
        <v>204</v>
      </c>
    </row>
    <row r="4" spans="1:10" ht="12.75">
      <c r="A4" s="42"/>
      <c r="B4" s="6"/>
      <c r="C4" s="6"/>
      <c r="D4" s="92" t="s">
        <v>244</v>
      </c>
      <c r="E4" s="384" t="s">
        <v>437</v>
      </c>
      <c r="F4" s="384"/>
      <c r="G4" s="92" t="s">
        <v>13</v>
      </c>
      <c r="H4" s="92" t="s">
        <v>14</v>
      </c>
      <c r="I4" s="46" t="s">
        <v>494</v>
      </c>
      <c r="J4" s="3"/>
    </row>
    <row r="5" spans="1:10" ht="12.75">
      <c r="A5" s="80"/>
      <c r="B5" s="4"/>
      <c r="C5" s="4"/>
      <c r="D5" s="83" t="s">
        <v>245</v>
      </c>
      <c r="E5" s="83" t="s">
        <v>12</v>
      </c>
      <c r="F5" s="26" t="s">
        <v>237</v>
      </c>
      <c r="G5" s="83" t="s">
        <v>238</v>
      </c>
      <c r="H5" s="83" t="s">
        <v>239</v>
      </c>
      <c r="I5" s="84" t="s">
        <v>228</v>
      </c>
      <c r="J5" s="3"/>
    </row>
    <row r="6" spans="1:9" ht="12.75">
      <c r="A6" s="11" t="s">
        <v>236</v>
      </c>
      <c r="B6" s="95"/>
      <c r="C6" s="95"/>
      <c r="D6" s="95"/>
      <c r="E6" s="95"/>
      <c r="F6" s="95"/>
      <c r="G6" s="95"/>
      <c r="H6" s="95"/>
      <c r="I6" s="28"/>
    </row>
    <row r="7" spans="1:9" ht="12.75">
      <c r="A7" s="42"/>
      <c r="B7" s="6" t="s">
        <v>436</v>
      </c>
      <c r="C7" s="6"/>
      <c r="D7" s="6"/>
      <c r="E7" s="6"/>
      <c r="F7" s="6"/>
      <c r="G7" s="6"/>
      <c r="H7" s="6"/>
      <c r="I7" s="43"/>
    </row>
    <row r="8" spans="1:9" ht="12.75">
      <c r="A8" s="42"/>
      <c r="B8" s="6"/>
      <c r="C8" s="6" t="s">
        <v>20</v>
      </c>
      <c r="D8" s="63">
        <f>'Requer.'!AC17</f>
        <v>0.3</v>
      </c>
      <c r="E8" s="63">
        <f>$E$2*D8</f>
        <v>1.7999999999999998</v>
      </c>
      <c r="F8" s="6" t="s">
        <v>242</v>
      </c>
      <c r="G8" s="108">
        <f>Datos!$D$41/8</f>
        <v>2.25</v>
      </c>
      <c r="H8" s="108">
        <f>E8*G8</f>
        <v>4.05</v>
      </c>
      <c r="I8" s="49">
        <f>H8*$I$2</f>
        <v>24.299999999999997</v>
      </c>
    </row>
    <row r="9" spans="1:9" ht="12.75">
      <c r="A9" s="42"/>
      <c r="B9" s="6"/>
      <c r="C9" s="113" t="s">
        <v>322</v>
      </c>
      <c r="D9" s="63">
        <f>'Requer.'!C43</f>
        <v>1</v>
      </c>
      <c r="E9" s="63">
        <f>$E$2*D9</f>
        <v>6</v>
      </c>
      <c r="F9" s="6" t="s">
        <v>25</v>
      </c>
      <c r="G9" s="126">
        <f>Datos!J42/50</f>
        <v>0.06</v>
      </c>
      <c r="H9" s="108">
        <f>E9*G9</f>
        <v>0.36</v>
      </c>
      <c r="I9" s="49">
        <f>H9*$I$2</f>
        <v>2.16</v>
      </c>
    </row>
    <row r="10" spans="1:9" ht="12.75">
      <c r="A10" s="42"/>
      <c r="B10" s="6" t="str">
        <f>IF($G$1="Incubación","Incubación","Compra y recepción")</f>
        <v>Compra y recepción</v>
      </c>
      <c r="C10" s="6"/>
      <c r="D10" s="6"/>
      <c r="E10" s="6"/>
      <c r="F10" s="6"/>
      <c r="G10" s="6"/>
      <c r="H10" s="6"/>
      <c r="I10" s="43"/>
    </row>
    <row r="11" spans="1:10" ht="12.75">
      <c r="A11" s="42"/>
      <c r="B11" s="6"/>
      <c r="C11" s="6" t="str">
        <f>IF($G$1="Incubación","Telainos","Compra gusanos")</f>
        <v>Compra gusanos</v>
      </c>
      <c r="D11" s="6"/>
      <c r="E11" s="6">
        <f>E2</f>
        <v>6</v>
      </c>
      <c r="F11" s="6" t="s">
        <v>105</v>
      </c>
      <c r="G11" s="108">
        <f>Datos!J39</f>
        <v>75</v>
      </c>
      <c r="H11" s="108">
        <f>E11*G11</f>
        <v>450</v>
      </c>
      <c r="I11" s="49">
        <f>H11*$I$2</f>
        <v>2700</v>
      </c>
      <c r="J11" s="7"/>
    </row>
    <row r="12" spans="1:10" ht="12.75">
      <c r="A12" s="42"/>
      <c r="B12" s="6"/>
      <c r="C12" s="6" t="s">
        <v>20</v>
      </c>
      <c r="D12" s="126">
        <f>IF($G$1="Incubación",'Requer.'!AC5,'Requer.'!AC25)</f>
        <v>0.1</v>
      </c>
      <c r="E12" s="63">
        <f>$E$2*D12</f>
        <v>0.6000000000000001</v>
      </c>
      <c r="F12" s="6" t="s">
        <v>242</v>
      </c>
      <c r="G12" s="108">
        <f>Datos!$D$41/8</f>
        <v>2.25</v>
      </c>
      <c r="H12" s="108">
        <f>E12*G12</f>
        <v>1.35</v>
      </c>
      <c r="I12" s="49">
        <f>H12*$I$2</f>
        <v>8.100000000000001</v>
      </c>
      <c r="J12" s="7"/>
    </row>
    <row r="13" spans="1:10" ht="12.75">
      <c r="A13" s="42"/>
      <c r="B13" s="6"/>
      <c r="C13" s="6" t="str">
        <f>IF($G$1="Incubación","Desinfectante","Flete (vehículo propio)")</f>
        <v>Flete (vehículo propio)</v>
      </c>
      <c r="D13" s="126">
        <f>IF($G$1="Incubación",'Requer.'!$C$41,0)</f>
        <v>0</v>
      </c>
      <c r="E13" s="63">
        <f>IF($G$1="Incubación",$E$2*D13,0)</f>
        <v>0</v>
      </c>
      <c r="F13" s="6">
        <f>IF($G$1="Incubación","l","")</f>
      </c>
      <c r="G13" s="108">
        <f>IF($G$1="Incubación",Datos!$J$40,0)</f>
        <v>0</v>
      </c>
      <c r="H13" s="108">
        <f>E13*G13</f>
        <v>0</v>
      </c>
      <c r="I13" s="49">
        <f>H13*$I$2</f>
        <v>0</v>
      </c>
      <c r="J13" s="7"/>
    </row>
    <row r="14" spans="1:10" ht="12.75">
      <c r="A14" s="42"/>
      <c r="B14" s="6"/>
      <c r="C14" s="6" t="str">
        <f>IF($G$1="Incubación","Calefacción","Otros gastos de compra")</f>
        <v>Otros gastos de compra</v>
      </c>
      <c r="D14" s="113"/>
      <c r="E14" s="354">
        <f>$E$2*D14</f>
        <v>0</v>
      </c>
      <c r="F14" s="6"/>
      <c r="G14" s="108"/>
      <c r="H14" s="108">
        <f>E14*G14</f>
        <v>0</v>
      </c>
      <c r="I14" s="49">
        <f>H14*$I$2</f>
        <v>0</v>
      </c>
      <c r="J14" s="7"/>
    </row>
    <row r="15" spans="1:10" ht="12.75">
      <c r="A15" s="42"/>
      <c r="B15" s="6"/>
      <c r="C15" s="6">
        <f>IF($G$1="Incubación","Iluminación","")</f>
      </c>
      <c r="D15" s="63">
        <f>IF($G$1="Incubación",'Requer.'!$D$39,0)</f>
        <v>0</v>
      </c>
      <c r="E15" s="63">
        <f>$E$2*D15</f>
        <v>0</v>
      </c>
      <c r="F15" s="6">
        <f>IF($G$1="Incubación","kWh","")</f>
      </c>
      <c r="G15" s="108">
        <f>IF($G$1="Iluminación",Datos!J45,0)</f>
        <v>0</v>
      </c>
      <c r="H15" s="108">
        <f>E15*G15</f>
        <v>0</v>
      </c>
      <c r="I15" s="49">
        <f>H15*$I$2</f>
        <v>0</v>
      </c>
      <c r="J15" s="7"/>
    </row>
    <row r="16" spans="1:10" ht="12.75">
      <c r="A16" s="42"/>
      <c r="B16" s="6">
        <f>IF($G$1="Incubación","Estadio 1 (Nacimiento)","")</f>
      </c>
      <c r="C16" s="6"/>
      <c r="D16" s="6"/>
      <c r="E16" s="6"/>
      <c r="F16" s="6"/>
      <c r="G16" s="108"/>
      <c r="H16" s="108"/>
      <c r="I16" s="49"/>
      <c r="J16" s="7"/>
    </row>
    <row r="17" spans="1:10" ht="12.75">
      <c r="A17" s="42"/>
      <c r="B17" s="6"/>
      <c r="C17" s="6">
        <f>IF($G$1="Incubación","Mano de obra","")</f>
      </c>
      <c r="D17" s="63">
        <f>IF($G$1="Incubación",'Requer.'!AC6,0)</f>
        <v>0</v>
      </c>
      <c r="E17" s="63">
        <f>$E$2*D17</f>
        <v>0</v>
      </c>
      <c r="F17" s="6">
        <f>IF($G$1="Incubación","hh","")</f>
      </c>
      <c r="G17" s="108">
        <f>IF($G$1="Incubación",Datos!$D$41/8,0)</f>
        <v>0</v>
      </c>
      <c r="H17" s="108">
        <f>E17*G17</f>
        <v>0</v>
      </c>
      <c r="I17" s="49">
        <f>H17*$I$2</f>
        <v>0</v>
      </c>
      <c r="J17" s="7"/>
    </row>
    <row r="18" spans="1:10" ht="12.75">
      <c r="A18" s="42"/>
      <c r="B18" s="6" t="s">
        <v>246</v>
      </c>
      <c r="C18" s="6"/>
      <c r="D18" s="6"/>
      <c r="E18" s="6"/>
      <c r="F18" s="6"/>
      <c r="G18" s="108"/>
      <c r="H18" s="108"/>
      <c r="I18" s="49"/>
      <c r="J18" s="7"/>
    </row>
    <row r="19" spans="1:10" ht="12.75">
      <c r="A19" s="42"/>
      <c r="B19" s="6"/>
      <c r="C19" s="6" t="s">
        <v>20</v>
      </c>
      <c r="D19" s="63">
        <f>'Requer.'!AC8</f>
        <v>1.3415000000000001</v>
      </c>
      <c r="E19" s="63">
        <f>$E$2*D19</f>
        <v>8.049000000000001</v>
      </c>
      <c r="F19" s="6" t="s">
        <v>242</v>
      </c>
      <c r="G19" s="108">
        <f>Datos!$D$41/8</f>
        <v>2.25</v>
      </c>
      <c r="H19" s="108">
        <f>E19*G19</f>
        <v>18.110250000000004</v>
      </c>
      <c r="I19" s="49">
        <f>H19*$I$2</f>
        <v>108.66150000000002</v>
      </c>
      <c r="J19" s="7"/>
    </row>
    <row r="20" spans="1:10" ht="12.75">
      <c r="A20" s="42"/>
      <c r="B20" s="6"/>
      <c r="C20" s="6" t="s">
        <v>243</v>
      </c>
      <c r="D20" s="63">
        <f>'Requer.'!$C$41</f>
        <v>0.3</v>
      </c>
      <c r="E20" s="63">
        <f>$E$2*D20</f>
        <v>1.7999999999999998</v>
      </c>
      <c r="F20" s="6" t="s">
        <v>270</v>
      </c>
      <c r="G20" s="108">
        <f>Datos!$J$40</f>
        <v>3.5</v>
      </c>
      <c r="H20" s="108">
        <f>E20*G20</f>
        <v>6.299999999999999</v>
      </c>
      <c r="I20" s="49">
        <f>H20*$I$2</f>
        <v>37.8</v>
      </c>
      <c r="J20" s="7"/>
    </row>
    <row r="21" spans="1:10" ht="12.75">
      <c r="A21" s="42"/>
      <c r="B21" s="6"/>
      <c r="C21" s="6" t="s">
        <v>286</v>
      </c>
      <c r="D21" s="63">
        <f>'Requer.'!N8*'Requer.'!O8</f>
        <v>2</v>
      </c>
      <c r="E21" s="63">
        <f>$E$2*D21</f>
        <v>12</v>
      </c>
      <c r="F21" s="6" t="s">
        <v>79</v>
      </c>
      <c r="G21" s="108">
        <f>Datos!$J$43</f>
        <v>0.05</v>
      </c>
      <c r="H21" s="108">
        <f>E21*G21</f>
        <v>0.6000000000000001</v>
      </c>
      <c r="I21" s="49">
        <f>H21*$I$2</f>
        <v>3.6000000000000005</v>
      </c>
      <c r="J21" s="7"/>
    </row>
    <row r="22" spans="1:10" ht="12.75">
      <c r="A22" s="42"/>
      <c r="B22" s="6" t="s">
        <v>247</v>
      </c>
      <c r="C22" s="6"/>
      <c r="D22" s="6"/>
      <c r="E22" s="6"/>
      <c r="F22" s="6"/>
      <c r="G22" s="108"/>
      <c r="H22" s="108"/>
      <c r="I22" s="49"/>
      <c r="J22" s="7"/>
    </row>
    <row r="23" spans="1:10" ht="12.75">
      <c r="A23" s="42"/>
      <c r="B23" s="6"/>
      <c r="C23" s="6" t="s">
        <v>20</v>
      </c>
      <c r="D23" s="63">
        <f>'Requer.'!AC10</f>
        <v>2.9080000000000004</v>
      </c>
      <c r="E23" s="63">
        <f>$E$2*D23</f>
        <v>17.448</v>
      </c>
      <c r="F23" s="6" t="s">
        <v>242</v>
      </c>
      <c r="G23" s="108">
        <f>Datos!$D$41/8</f>
        <v>2.25</v>
      </c>
      <c r="H23" s="108">
        <f>E23*G23</f>
        <v>39.258</v>
      </c>
      <c r="I23" s="49">
        <f>H23*$I$2</f>
        <v>235.548</v>
      </c>
      <c r="J23" s="7"/>
    </row>
    <row r="24" spans="1:10" ht="12.75">
      <c r="A24" s="42"/>
      <c r="B24" s="6"/>
      <c r="C24" s="6" t="s">
        <v>243</v>
      </c>
      <c r="D24" s="63">
        <f>'Requer.'!$C$41</f>
        <v>0.3</v>
      </c>
      <c r="E24" s="63">
        <f>$E$2*D24</f>
        <v>1.7999999999999998</v>
      </c>
      <c r="F24" s="6" t="s">
        <v>270</v>
      </c>
      <c r="G24" s="108">
        <f>Datos!$J$40</f>
        <v>3.5</v>
      </c>
      <c r="H24" s="108">
        <f>E24*G24</f>
        <v>6.299999999999999</v>
      </c>
      <c r="I24" s="49">
        <f>H24*$I$2</f>
        <v>37.8</v>
      </c>
      <c r="J24" s="7"/>
    </row>
    <row r="25" spans="1:10" ht="12.75">
      <c r="A25" s="42"/>
      <c r="B25" s="6"/>
      <c r="C25" s="6" t="s">
        <v>286</v>
      </c>
      <c r="D25" s="63">
        <f>'Requer.'!N10*'Requer.'!O10</f>
        <v>10</v>
      </c>
      <c r="E25" s="63">
        <f>$E$2*D25</f>
        <v>60</v>
      </c>
      <c r="F25" s="6" t="s">
        <v>79</v>
      </c>
      <c r="G25" s="108">
        <f>Datos!$J$43</f>
        <v>0.05</v>
      </c>
      <c r="H25" s="108">
        <f>E25*G25</f>
        <v>3</v>
      </c>
      <c r="I25" s="49">
        <f>H25*$I$2</f>
        <v>18</v>
      </c>
      <c r="J25" s="7"/>
    </row>
    <row r="26" spans="1:10" ht="12.75">
      <c r="A26" s="42"/>
      <c r="B26" s="6" t="s">
        <v>248</v>
      </c>
      <c r="C26" s="6"/>
      <c r="D26" s="6"/>
      <c r="E26" s="6"/>
      <c r="F26" s="6"/>
      <c r="G26" s="108"/>
      <c r="H26" s="108"/>
      <c r="I26" s="49"/>
      <c r="J26" s="7"/>
    </row>
    <row r="27" spans="1:10" ht="12.75">
      <c r="A27" s="42"/>
      <c r="B27" s="6"/>
      <c r="C27" s="6" t="s">
        <v>20</v>
      </c>
      <c r="D27" s="63">
        <f>'Requer.'!AC12</f>
        <v>3.8033333333333337</v>
      </c>
      <c r="E27" s="63">
        <f>$E$2*D27</f>
        <v>22.82</v>
      </c>
      <c r="F27" s="6" t="s">
        <v>242</v>
      </c>
      <c r="G27" s="108">
        <f>Datos!$D$41/8</f>
        <v>2.25</v>
      </c>
      <c r="H27" s="108">
        <f>E27*G27</f>
        <v>51.345</v>
      </c>
      <c r="I27" s="49">
        <f>H27*$I$2</f>
        <v>308.07</v>
      </c>
      <c r="J27" s="7"/>
    </row>
    <row r="28" spans="1:10" ht="12.75">
      <c r="A28" s="42"/>
      <c r="B28" s="6"/>
      <c r="C28" s="6" t="s">
        <v>243</v>
      </c>
      <c r="D28" s="63">
        <f>'Requer.'!$C$41</f>
        <v>0.3</v>
      </c>
      <c r="E28" s="63">
        <f>$E$2*D28</f>
        <v>1.7999999999999998</v>
      </c>
      <c r="F28" s="6" t="s">
        <v>270</v>
      </c>
      <c r="G28" s="108">
        <f>Datos!$J$40</f>
        <v>3.5</v>
      </c>
      <c r="H28" s="108">
        <f>E28*G28</f>
        <v>6.299999999999999</v>
      </c>
      <c r="I28" s="49">
        <f>H28*$I$2</f>
        <v>37.8</v>
      </c>
      <c r="J28" s="7"/>
    </row>
    <row r="29" spans="1:10" ht="12.75">
      <c r="A29" s="42"/>
      <c r="B29" s="6"/>
      <c r="C29" s="6" t="s">
        <v>286</v>
      </c>
      <c r="D29" s="63">
        <f>'Requer.'!N12*'Requer.'!O12</f>
        <v>20</v>
      </c>
      <c r="E29" s="63">
        <f>$E$2*D29</f>
        <v>120</v>
      </c>
      <c r="F29" s="6" t="s">
        <v>79</v>
      </c>
      <c r="G29" s="108">
        <f>Datos!$J$43</f>
        <v>0.05</v>
      </c>
      <c r="H29" s="108">
        <f>E29*G29</f>
        <v>6</v>
      </c>
      <c r="I29" s="49">
        <f>H29*$I$2</f>
        <v>36</v>
      </c>
      <c r="J29" s="7"/>
    </row>
    <row r="30" spans="1:10" ht="12.75">
      <c r="A30" s="42"/>
      <c r="B30" s="6" t="s">
        <v>249</v>
      </c>
      <c r="C30" s="6"/>
      <c r="D30" s="6"/>
      <c r="E30" s="6"/>
      <c r="F30" s="6"/>
      <c r="G30" s="108"/>
      <c r="H30" s="108"/>
      <c r="I30" s="49"/>
      <c r="J30" s="7"/>
    </row>
    <row r="31" spans="1:10" ht="12.75">
      <c r="A31" s="42"/>
      <c r="B31" s="6"/>
      <c r="C31" s="6" t="s">
        <v>20</v>
      </c>
      <c r="D31" s="63">
        <f>'Requer.'!AC14+'Requer.'!AC15</f>
        <v>16.526666666666667</v>
      </c>
      <c r="E31" s="63">
        <f>$E$2*D31</f>
        <v>99.16</v>
      </c>
      <c r="F31" s="6" t="s">
        <v>242</v>
      </c>
      <c r="G31" s="108">
        <f>Datos!$D$41/8</f>
        <v>2.25</v>
      </c>
      <c r="H31" s="108">
        <f>E31*G31</f>
        <v>223.10999999999999</v>
      </c>
      <c r="I31" s="49">
        <f>H31*$I$2</f>
        <v>1338.6599999999999</v>
      </c>
      <c r="J31" s="7"/>
    </row>
    <row r="32" spans="1:10" ht="12.75">
      <c r="A32" s="42"/>
      <c r="B32" s="6"/>
      <c r="C32" s="6" t="s">
        <v>243</v>
      </c>
      <c r="D32" s="63">
        <f>'Requer.'!$C$41</f>
        <v>0.3</v>
      </c>
      <c r="E32" s="63">
        <f>$E$2*D32</f>
        <v>1.7999999999999998</v>
      </c>
      <c r="F32" s="6" t="s">
        <v>270</v>
      </c>
      <c r="G32" s="108">
        <f>Datos!$J$40</f>
        <v>3.5</v>
      </c>
      <c r="H32" s="108">
        <f>E32*G32</f>
        <v>6.299999999999999</v>
      </c>
      <c r="I32" s="49">
        <f>H32*$I$2</f>
        <v>37.8</v>
      </c>
      <c r="J32" s="7"/>
    </row>
    <row r="33" spans="1:10" ht="12.75">
      <c r="A33" s="42"/>
      <c r="B33" s="6"/>
      <c r="C33" s="6" t="s">
        <v>286</v>
      </c>
      <c r="D33" s="63">
        <f>'Requer.'!N14*'Requer.'!O14</f>
        <v>75</v>
      </c>
      <c r="E33" s="63">
        <f>$E$2*D33</f>
        <v>450</v>
      </c>
      <c r="F33" s="6" t="s">
        <v>79</v>
      </c>
      <c r="G33" s="108">
        <f>Datos!$J$43</f>
        <v>0.05</v>
      </c>
      <c r="H33" s="108">
        <f>E33*G33</f>
        <v>22.5</v>
      </c>
      <c r="I33" s="49">
        <f>H33*$I$2</f>
        <v>135</v>
      </c>
      <c r="J33" s="7"/>
    </row>
    <row r="34" spans="1:10" ht="12.75">
      <c r="A34" s="42"/>
      <c r="B34" s="6" t="s">
        <v>250</v>
      </c>
      <c r="C34" s="6"/>
      <c r="D34" s="6"/>
      <c r="E34" s="6"/>
      <c r="F34" s="6"/>
      <c r="G34" s="108"/>
      <c r="H34" s="108"/>
      <c r="I34" s="49"/>
      <c r="J34" s="7"/>
    </row>
    <row r="35" spans="1:10" ht="12.75">
      <c r="A35" s="42"/>
      <c r="B35" s="6"/>
      <c r="C35" s="6" t="s">
        <v>20</v>
      </c>
      <c r="D35" s="63">
        <f>'Requer.'!$V$16/60*D81+'Requer.'!$Y$32/3600*D81/'Requer.'!$Q$31*1000</f>
        <v>6.166666666666667</v>
      </c>
      <c r="E35" s="63">
        <f>$E$2*D35</f>
        <v>37</v>
      </c>
      <c r="F35" s="6" t="s">
        <v>242</v>
      </c>
      <c r="G35" s="108">
        <f>Datos!$D$41/8</f>
        <v>2.25</v>
      </c>
      <c r="H35" s="108">
        <f>E35*G35</f>
        <v>83.25</v>
      </c>
      <c r="I35" s="49">
        <f>H35*$I$2</f>
        <v>499.5</v>
      </c>
      <c r="J35" s="7"/>
    </row>
    <row r="36" spans="1:10" ht="12.75">
      <c r="A36" s="42"/>
      <c r="B36" s="6" t="s">
        <v>367</v>
      </c>
      <c r="C36" s="113"/>
      <c r="D36" s="6"/>
      <c r="E36" s="63"/>
      <c r="F36" s="6"/>
      <c r="G36" s="108"/>
      <c r="H36" s="108"/>
      <c r="I36" s="49"/>
      <c r="J36" s="7"/>
    </row>
    <row r="37" spans="1:10" ht="12.75">
      <c r="A37" s="42"/>
      <c r="B37" s="6"/>
      <c r="C37" s="6" t="s">
        <v>20</v>
      </c>
      <c r="D37" s="108">
        <f>Datos!D33/Datos!D32*'Requer.'!$Q$28</f>
        <v>4.285714285714286</v>
      </c>
      <c r="E37" s="63">
        <f>$E$2*D37</f>
        <v>25.714285714285715</v>
      </c>
      <c r="F37" s="6" t="s">
        <v>242</v>
      </c>
      <c r="G37" s="108">
        <f>Datos!$D$41/8</f>
        <v>2.25</v>
      </c>
      <c r="H37" s="108">
        <f>E37*G37</f>
        <v>57.85714285714286</v>
      </c>
      <c r="I37" s="49">
        <f>H37*$I$2</f>
        <v>347.14285714285717</v>
      </c>
      <c r="J37" s="7"/>
    </row>
    <row r="38" spans="1:10" ht="12.75">
      <c r="A38" s="42"/>
      <c r="B38" s="6"/>
      <c r="C38" s="113">
        <f>IF(Datos!$A$32="Desborradora","Electricidad desborradora","")</f>
      </c>
      <c r="D38" s="108">
        <f>IF(Datos!$A$32="Desborradora",Datos!D34/Datos!D32*'Requer.'!$Q$28,)</f>
        <v>0</v>
      </c>
      <c r="E38" s="63">
        <f>$E$2*D38</f>
        <v>0</v>
      </c>
      <c r="F38" s="6">
        <f>IF(Datos!$A$32="Desborradora","kWh","")</f>
      </c>
      <c r="G38" s="108">
        <f>IF(Datos!$A$32="Desborradora",Datos!$J$45,0)</f>
        <v>0</v>
      </c>
      <c r="H38" s="108">
        <f>E38*G38</f>
        <v>0</v>
      </c>
      <c r="I38" s="49">
        <f>H38*$I$2</f>
        <v>0</v>
      </c>
      <c r="J38" s="7"/>
    </row>
    <row r="39" spans="1:10" ht="12.75">
      <c r="A39" s="42"/>
      <c r="B39" s="6" t="s">
        <v>368</v>
      </c>
      <c r="C39" s="113"/>
      <c r="D39" s="6"/>
      <c r="E39" s="63"/>
      <c r="F39" s="6"/>
      <c r="G39" s="108"/>
      <c r="H39" s="108"/>
      <c r="I39" s="49"/>
      <c r="J39" s="7"/>
    </row>
    <row r="40" spans="1:10" ht="12.75">
      <c r="A40" s="42"/>
      <c r="B40" s="6"/>
      <c r="C40" s="6" t="s">
        <v>20</v>
      </c>
      <c r="D40" s="63">
        <f>'Requer.'!$H$52</f>
        <v>3</v>
      </c>
      <c r="E40" s="126">
        <f>$E$2*D40</f>
        <v>18</v>
      </c>
      <c r="F40" s="6" t="s">
        <v>242</v>
      </c>
      <c r="G40" s="108">
        <f>Datos!$D$41/8</f>
        <v>2.25</v>
      </c>
      <c r="H40" s="108">
        <f>E40*G40</f>
        <v>40.5</v>
      </c>
      <c r="I40" s="49">
        <f>H40*$I$2</f>
        <v>243</v>
      </c>
      <c r="J40" s="7"/>
    </row>
    <row r="41" spans="1:10" ht="12.75">
      <c r="A41" s="42"/>
      <c r="B41" s="6"/>
      <c r="C41" s="113" t="str">
        <f>Datos!G44</f>
        <v>Gas licuado (propano)</v>
      </c>
      <c r="D41" s="93">
        <f>'Requer.'!$W$52*'Requer.'!Q28</f>
        <v>1.801801801801802</v>
      </c>
      <c r="E41" s="126">
        <f>$E$2*D41</f>
        <v>10.810810810810812</v>
      </c>
      <c r="F41" s="6" t="str">
        <f>RIGHT(VLOOKUP(C41,'Requer.'!$S$41:$U$49,3,FALSE),2)</f>
        <v>kg</v>
      </c>
      <c r="G41" s="108">
        <f>Datos!$J$44</f>
        <v>2.7</v>
      </c>
      <c r="H41" s="108">
        <f>E41*G41</f>
        <v>29.189189189189197</v>
      </c>
      <c r="I41" s="49">
        <f>H41*$I$2</f>
        <v>175.1351351351352</v>
      </c>
      <c r="J41" s="7"/>
    </row>
    <row r="42" spans="1:9" ht="12.75">
      <c r="A42" s="42"/>
      <c r="B42" s="6" t="s">
        <v>265</v>
      </c>
      <c r="C42" s="6"/>
      <c r="D42" s="6"/>
      <c r="E42" s="6"/>
      <c r="F42" s="6"/>
      <c r="G42" s="6"/>
      <c r="H42" s="6"/>
      <c r="I42" s="43"/>
    </row>
    <row r="43" spans="1:10" ht="12.75">
      <c r="A43" s="42"/>
      <c r="B43" s="6"/>
      <c r="C43" s="113" t="s">
        <v>417</v>
      </c>
      <c r="D43" s="159">
        <f>'Requer.'!Q28*'Requer.'!Q30/'Requer.'!Q33/0.07</f>
        <v>1.4464285714285712</v>
      </c>
      <c r="E43" s="63">
        <f>$E$2*D43</f>
        <v>8.678571428571427</v>
      </c>
      <c r="F43" s="6" t="s">
        <v>369</v>
      </c>
      <c r="G43" s="108">
        <f>Datos!$J$47</f>
        <v>2</v>
      </c>
      <c r="H43" s="108">
        <f>E43*G43</f>
        <v>17.357142857142854</v>
      </c>
      <c r="I43" s="49">
        <f>H43*$I$2</f>
        <v>104.14285714285712</v>
      </c>
      <c r="J43" s="7"/>
    </row>
    <row r="44" spans="1:10" ht="12.75">
      <c r="A44" s="42"/>
      <c r="B44" s="6" t="s">
        <v>266</v>
      </c>
      <c r="C44" s="6"/>
      <c r="D44" s="6"/>
      <c r="E44" s="6"/>
      <c r="F44" s="6"/>
      <c r="G44" s="108"/>
      <c r="H44" s="108"/>
      <c r="I44" s="49">
        <v>0</v>
      </c>
      <c r="J44" s="7"/>
    </row>
    <row r="45" spans="1:10" ht="12.75">
      <c r="A45" s="42"/>
      <c r="B45" s="6" t="s">
        <v>438</v>
      </c>
      <c r="C45" s="6"/>
      <c r="D45" s="6"/>
      <c r="E45" s="6"/>
      <c r="F45" s="6"/>
      <c r="G45" s="6"/>
      <c r="H45" s="6"/>
      <c r="I45" s="43"/>
      <c r="J45" s="7"/>
    </row>
    <row r="46" spans="1:10" ht="12.75">
      <c r="A46" s="42"/>
      <c r="B46" s="6"/>
      <c r="C46" s="6" t="s">
        <v>280</v>
      </c>
      <c r="D46" s="135">
        <f>'Requer.'!$C$47*Datos!D30</f>
        <v>0.010899182561307902</v>
      </c>
      <c r="E46" s="63">
        <f>$E$2*D46</f>
        <v>0.0653950953678474</v>
      </c>
      <c r="F46" s="6" t="s">
        <v>299</v>
      </c>
      <c r="G46" s="127">
        <f>Datos!J45</f>
        <v>0.25</v>
      </c>
      <c r="H46" s="108">
        <f>E46*G46</f>
        <v>0.01634877384196185</v>
      </c>
      <c r="I46" s="49">
        <f>H46*$I$2</f>
        <v>0.09809264305177111</v>
      </c>
      <c r="J46" s="7"/>
    </row>
    <row r="47" spans="1:10" ht="12.75">
      <c r="A47" s="42"/>
      <c r="B47" s="6"/>
      <c r="C47" s="6" t="s">
        <v>308</v>
      </c>
      <c r="D47" s="112">
        <f>'Requer.'!$C$47/Datos!$D$28</f>
        <v>0.05</v>
      </c>
      <c r="E47" s="63">
        <f>$E$2*D47</f>
        <v>0.30000000000000004</v>
      </c>
      <c r="F47" s="6" t="s">
        <v>311</v>
      </c>
      <c r="G47" s="63">
        <f>Capital!M14</f>
        <v>0.05</v>
      </c>
      <c r="H47" s="108">
        <f>E47*G47</f>
        <v>0.015000000000000003</v>
      </c>
      <c r="I47" s="49">
        <f>H47*$I$2</f>
        <v>0.09000000000000002</v>
      </c>
      <c r="J47" s="7"/>
    </row>
    <row r="48" spans="1:10" ht="12.75">
      <c r="A48" s="42"/>
      <c r="B48" s="6" t="s">
        <v>446</v>
      </c>
      <c r="C48" s="6"/>
      <c r="D48" s="112"/>
      <c r="E48" s="63"/>
      <c r="F48" s="6"/>
      <c r="G48" s="63"/>
      <c r="H48" s="108"/>
      <c r="I48" s="49"/>
      <c r="J48" s="7"/>
    </row>
    <row r="49" spans="1:10" ht="12.75">
      <c r="A49" s="42"/>
      <c r="B49" s="6"/>
      <c r="C49" s="113" t="s">
        <v>338</v>
      </c>
      <c r="D49" s="112"/>
      <c r="E49" s="114">
        <f>Datos!J29*Datos!J30*Datos!J31*Capital!B9/1000</f>
        <v>1080</v>
      </c>
      <c r="F49" s="6" t="s">
        <v>299</v>
      </c>
      <c r="G49" s="63">
        <f>Datos!J45</f>
        <v>0.25</v>
      </c>
      <c r="H49" s="115" t="s">
        <v>281</v>
      </c>
      <c r="I49" s="49">
        <f>E49*G49</f>
        <v>270</v>
      </c>
      <c r="J49" s="7"/>
    </row>
    <row r="50" spans="1:10" ht="12.75">
      <c r="A50" s="42"/>
      <c r="B50" s="6" t="s">
        <v>330</v>
      </c>
      <c r="C50" s="6"/>
      <c r="D50" s="112"/>
      <c r="E50" s="63"/>
      <c r="F50" s="6"/>
      <c r="G50" s="63"/>
      <c r="H50" s="108"/>
      <c r="I50" s="49"/>
      <c r="J50" s="7"/>
    </row>
    <row r="51" spans="1:10" ht="12.75">
      <c r="A51" s="42"/>
      <c r="B51" s="6"/>
      <c r="C51" s="6" t="s">
        <v>20</v>
      </c>
      <c r="D51" s="6"/>
      <c r="E51" s="343">
        <v>10</v>
      </c>
      <c r="F51" s="63" t="s">
        <v>332</v>
      </c>
      <c r="G51" s="108">
        <f>Datos!$D$41/8</f>
        <v>2.25</v>
      </c>
      <c r="H51" s="6" t="s">
        <v>331</v>
      </c>
      <c r="I51" s="49">
        <f>E51*G51</f>
        <v>22.5</v>
      </c>
      <c r="J51" s="7"/>
    </row>
    <row r="52" spans="1:10" ht="12.75">
      <c r="A52" s="42"/>
      <c r="B52" s="6"/>
      <c r="C52" s="113" t="s">
        <v>333</v>
      </c>
      <c r="D52" s="6"/>
      <c r="E52" s="116"/>
      <c r="F52" s="63"/>
      <c r="G52" s="108"/>
      <c r="H52" s="6"/>
      <c r="I52" s="345"/>
      <c r="J52" s="7"/>
    </row>
    <row r="53" spans="1:10" ht="12.75">
      <c r="A53" s="42"/>
      <c r="B53" s="6"/>
      <c r="C53" s="6" t="s">
        <v>67</v>
      </c>
      <c r="D53" s="6"/>
      <c r="E53" s="344">
        <v>50</v>
      </c>
      <c r="F53" s="63" t="s">
        <v>337</v>
      </c>
      <c r="G53" s="108">
        <f>Datos!D54</f>
        <v>2</v>
      </c>
      <c r="H53" s="6" t="s">
        <v>10</v>
      </c>
      <c r="I53" s="49">
        <f>E53*G53</f>
        <v>100</v>
      </c>
      <c r="J53" s="7"/>
    </row>
    <row r="54" spans="1:10" ht="12.75">
      <c r="A54" s="42"/>
      <c r="B54" s="6" t="s">
        <v>309</v>
      </c>
      <c r="C54" s="6"/>
      <c r="D54" s="6"/>
      <c r="E54" s="6"/>
      <c r="F54" s="6"/>
      <c r="G54" s="108"/>
      <c r="H54" s="108"/>
      <c r="I54" s="49"/>
      <c r="J54" s="7"/>
    </row>
    <row r="55" spans="1:10" ht="12.75">
      <c r="A55" s="42"/>
      <c r="B55" s="6"/>
      <c r="C55" s="6" t="s">
        <v>305</v>
      </c>
      <c r="D55" s="344">
        <v>1000</v>
      </c>
      <c r="E55" s="6" t="s">
        <v>306</v>
      </c>
      <c r="F55" s="12">
        <v>0.1</v>
      </c>
      <c r="G55" s="6" t="s">
        <v>307</v>
      </c>
      <c r="H55" s="108">
        <f>Datos!J46</f>
        <v>1.5</v>
      </c>
      <c r="I55" s="49">
        <f>F55*D55*H55</f>
        <v>150</v>
      </c>
      <c r="J55" s="7"/>
    </row>
    <row r="56" spans="1:10" ht="12.75">
      <c r="A56" s="42"/>
      <c r="B56" s="6"/>
      <c r="C56" s="6" t="s">
        <v>308</v>
      </c>
      <c r="D56" s="114">
        <f>D55</f>
        <v>1000</v>
      </c>
      <c r="E56" s="6" t="s">
        <v>306</v>
      </c>
      <c r="F56" s="63">
        <f>Capital!M28</f>
        <v>0.2</v>
      </c>
      <c r="G56" s="6" t="s">
        <v>310</v>
      </c>
      <c r="H56" s="6"/>
      <c r="I56" s="49">
        <f>D56*F56</f>
        <v>200</v>
      </c>
      <c r="J56" s="7"/>
    </row>
    <row r="57" spans="1:10" ht="12.75">
      <c r="A57" s="42"/>
      <c r="B57" s="6" t="s">
        <v>483</v>
      </c>
      <c r="C57" s="6"/>
      <c r="D57" s="6"/>
      <c r="E57" s="6"/>
      <c r="F57" s="6"/>
      <c r="G57" s="108"/>
      <c r="H57" s="108"/>
      <c r="I57" s="49"/>
      <c r="J57" s="7"/>
    </row>
    <row r="58" spans="1:10" ht="12.75">
      <c r="A58" s="42"/>
      <c r="C58" s="6" t="s">
        <v>484</v>
      </c>
      <c r="D58" s="6"/>
      <c r="E58" s="6"/>
      <c r="F58" s="6"/>
      <c r="G58" s="108"/>
      <c r="H58" s="108"/>
      <c r="I58" s="49">
        <f>SUM(Capital!M6:M12)</f>
        <v>510</v>
      </c>
      <c r="J58" s="7"/>
    </row>
    <row r="59" spans="1:10" ht="12.75">
      <c r="A59" s="42"/>
      <c r="C59" s="6" t="s">
        <v>485</v>
      </c>
      <c r="D59" s="6"/>
      <c r="E59" s="6"/>
      <c r="F59" s="6"/>
      <c r="G59" s="108"/>
      <c r="H59" s="108"/>
      <c r="I59" s="49">
        <f>SUM(Capital!M15:M18)</f>
        <v>0</v>
      </c>
      <c r="J59" s="7"/>
    </row>
    <row r="60" spans="1:10" ht="12.75">
      <c r="A60" s="42"/>
      <c r="C60" s="6" t="s">
        <v>486</v>
      </c>
      <c r="D60" s="6"/>
      <c r="E60" s="6"/>
      <c r="F60" s="6"/>
      <c r="G60" s="108"/>
      <c r="H60" s="108"/>
      <c r="I60" s="49">
        <f>SUM(Capital!M20:M21)</f>
        <v>0</v>
      </c>
      <c r="J60" s="7"/>
    </row>
    <row r="61" spans="1:10" ht="12.75">
      <c r="A61" s="42"/>
      <c r="C61" s="6" t="s">
        <v>487</v>
      </c>
      <c r="D61" s="6"/>
      <c r="E61" s="6"/>
      <c r="F61" s="6"/>
      <c r="G61" s="108"/>
      <c r="H61" s="108"/>
      <c r="I61" s="49">
        <f>SUM(Capital!M23:M24)</f>
        <v>2</v>
      </c>
      <c r="J61" s="7"/>
    </row>
    <row r="62" spans="1:10" ht="12.75">
      <c r="A62" s="42"/>
      <c r="C62" s="6" t="s">
        <v>488</v>
      </c>
      <c r="D62" s="6"/>
      <c r="E62" s="6"/>
      <c r="F62" s="6"/>
      <c r="G62" s="108"/>
      <c r="H62" s="108"/>
      <c r="I62" s="49">
        <f>SUM(Capital!M26:M27)</f>
        <v>0</v>
      </c>
      <c r="J62" s="7"/>
    </row>
    <row r="63" spans="1:10" ht="12.75">
      <c r="A63" s="42"/>
      <c r="C63" s="6" t="s">
        <v>489</v>
      </c>
      <c r="D63" s="6"/>
      <c r="E63" s="6"/>
      <c r="F63" s="6"/>
      <c r="G63" s="108"/>
      <c r="H63" s="108"/>
      <c r="I63" s="49">
        <f>SUM(Capital!M30:M36)</f>
        <v>10</v>
      </c>
      <c r="J63" s="7"/>
    </row>
    <row r="64" spans="1:10" ht="12.75">
      <c r="A64" s="42"/>
      <c r="B64" s="113" t="s">
        <v>339</v>
      </c>
      <c r="C64" s="6"/>
      <c r="D64" s="6"/>
      <c r="E64" s="6"/>
      <c r="F64" s="6"/>
      <c r="G64" s="108"/>
      <c r="H64" s="108"/>
      <c r="I64" s="119"/>
      <c r="J64" s="7"/>
    </row>
    <row r="65" spans="1:10" ht="12.75">
      <c r="A65" s="42"/>
      <c r="B65" s="113"/>
      <c r="C65" s="6" t="s">
        <v>29</v>
      </c>
      <c r="D65" s="6">
        <f>Capital!B4</f>
        <v>1</v>
      </c>
      <c r="E65" s="6" t="s">
        <v>32</v>
      </c>
      <c r="F65" s="63">
        <f>Datos!D39</f>
        <v>5</v>
      </c>
      <c r="G65" s="115" t="s">
        <v>4</v>
      </c>
      <c r="H65" s="108"/>
      <c r="I65" s="22">
        <f>D65*F65</f>
        <v>5</v>
      </c>
      <c r="J65" s="7"/>
    </row>
    <row r="66" spans="1:10" ht="12.75">
      <c r="A66" s="42"/>
      <c r="B66" s="113"/>
      <c r="C66" s="6" t="s">
        <v>65</v>
      </c>
      <c r="D66" s="6">
        <f>Capital!B4</f>
        <v>1</v>
      </c>
      <c r="E66" s="6" t="s">
        <v>32</v>
      </c>
      <c r="F66" s="63">
        <f>Datos!D40</f>
        <v>2</v>
      </c>
      <c r="G66" s="115" t="s">
        <v>4</v>
      </c>
      <c r="H66" s="108"/>
      <c r="I66" s="22">
        <f>D66*F66</f>
        <v>2</v>
      </c>
      <c r="J66" s="7"/>
    </row>
    <row r="67" spans="1:10" ht="12.75">
      <c r="A67" s="42"/>
      <c r="B67" s="113"/>
      <c r="C67" s="6" t="s">
        <v>363</v>
      </c>
      <c r="D67" s="9">
        <v>0.5</v>
      </c>
      <c r="E67" s="6" t="s">
        <v>83</v>
      </c>
      <c r="F67" s="376">
        <f>Datos!D42</f>
        <v>1000</v>
      </c>
      <c r="G67" s="115" t="s">
        <v>111</v>
      </c>
      <c r="H67" s="108"/>
      <c r="I67" s="22">
        <f>F67*D67</f>
        <v>500</v>
      </c>
      <c r="J67" s="7"/>
    </row>
    <row r="68" spans="1:10" ht="12.75">
      <c r="A68" s="42"/>
      <c r="B68" s="113"/>
      <c r="C68" s="6" t="s">
        <v>375</v>
      </c>
      <c r="D68" s="9">
        <v>0.3</v>
      </c>
      <c r="E68" s="6" t="s">
        <v>83</v>
      </c>
      <c r="F68" s="376">
        <f>Datos!D43</f>
        <v>100</v>
      </c>
      <c r="G68" s="115" t="s">
        <v>111</v>
      </c>
      <c r="H68" s="108"/>
      <c r="I68" s="22">
        <f>F68*D68</f>
        <v>30</v>
      </c>
      <c r="J68" s="7"/>
    </row>
    <row r="69" spans="1:10" ht="12.75">
      <c r="A69" s="42"/>
      <c r="B69" s="113"/>
      <c r="C69" s="6" t="s">
        <v>376</v>
      </c>
      <c r="D69" s="9">
        <v>0.3</v>
      </c>
      <c r="E69" s="6" t="s">
        <v>83</v>
      </c>
      <c r="F69" s="376">
        <f>Datos!D44</f>
        <v>240</v>
      </c>
      <c r="G69" s="115" t="s">
        <v>111</v>
      </c>
      <c r="H69" s="108"/>
      <c r="I69" s="22">
        <f>F69*D69</f>
        <v>72</v>
      </c>
      <c r="J69" s="7"/>
    </row>
    <row r="70" spans="1:10" ht="12.75">
      <c r="A70" s="42"/>
      <c r="B70" s="113"/>
      <c r="C70" s="6"/>
      <c r="D70" s="6"/>
      <c r="E70" s="6"/>
      <c r="F70" s="6"/>
      <c r="G70" s="108"/>
      <c r="H70" s="108"/>
      <c r="I70" s="49"/>
      <c r="J70" s="7"/>
    </row>
    <row r="71" spans="1:10" ht="12.75">
      <c r="A71" s="42"/>
      <c r="B71" s="6" t="s">
        <v>263</v>
      </c>
      <c r="C71" s="6"/>
      <c r="D71" s="9">
        <v>0.1</v>
      </c>
      <c r="E71" s="6" t="s">
        <v>264</v>
      </c>
      <c r="F71" s="6"/>
      <c r="G71" s="108"/>
      <c r="H71" s="108"/>
      <c r="I71" s="89">
        <f>$D$71*SUM(I6:I70)</f>
        <v>831.1908442063901</v>
      </c>
      <c r="J71" s="7"/>
    </row>
    <row r="72" spans="1:10" ht="12.75">
      <c r="A72" s="42"/>
      <c r="B72" s="6" t="s">
        <v>251</v>
      </c>
      <c r="C72" s="6"/>
      <c r="D72" s="6"/>
      <c r="E72" s="6"/>
      <c r="F72" s="6"/>
      <c r="G72" s="108"/>
      <c r="H72" s="108">
        <f>SUM(H6:H47)</f>
        <v>1073.068073677317</v>
      </c>
      <c r="I72" s="49">
        <f>SUM(I6:I71)</f>
        <v>9143.099286270291</v>
      </c>
      <c r="J72" s="7"/>
    </row>
    <row r="73" spans="1:9" ht="12.75">
      <c r="A73" s="42"/>
      <c r="B73" s="6"/>
      <c r="C73" s="6"/>
      <c r="D73" s="6"/>
      <c r="E73" s="6"/>
      <c r="F73" s="6"/>
      <c r="G73" s="108"/>
      <c r="H73" s="108"/>
      <c r="I73" s="43"/>
    </row>
    <row r="74" spans="1:10" ht="12.75">
      <c r="A74" s="20" t="s">
        <v>252</v>
      </c>
      <c r="B74" s="6"/>
      <c r="C74" s="6"/>
      <c r="D74" s="6"/>
      <c r="E74" s="6"/>
      <c r="F74" s="6"/>
      <c r="G74" s="108"/>
      <c r="H74" s="108"/>
      <c r="I74" s="49">
        <f>Capital!$I$40</f>
        <v>2886.131596666667</v>
      </c>
      <c r="J74" s="7"/>
    </row>
    <row r="75" spans="1:10" ht="12.75">
      <c r="A75" s="20" t="s">
        <v>253</v>
      </c>
      <c r="B75" s="6"/>
      <c r="C75" s="6"/>
      <c r="D75" s="6"/>
      <c r="E75" s="6"/>
      <c r="F75" s="6"/>
      <c r="G75" s="6"/>
      <c r="H75" s="6"/>
      <c r="I75" s="89">
        <f>Capital!$J$40</f>
        <v>3047.93101279452</v>
      </c>
      <c r="J75" s="108"/>
    </row>
    <row r="76" spans="1:10" ht="13.5" thickBot="1">
      <c r="A76" s="148" t="s">
        <v>325</v>
      </c>
      <c r="B76" s="4"/>
      <c r="C76" s="4"/>
      <c r="D76" s="4"/>
      <c r="E76" s="4"/>
      <c r="F76" s="4"/>
      <c r="G76" s="4"/>
      <c r="H76" s="4"/>
      <c r="I76" s="144">
        <f>I72+I74+I75</f>
        <v>15077.161895731479</v>
      </c>
      <c r="J76" s="63"/>
    </row>
    <row r="77" spans="1:10" ht="13.5" thickTop="1">
      <c r="A77" s="6"/>
      <c r="B77" s="6"/>
      <c r="C77" s="6"/>
      <c r="D77" s="6"/>
      <c r="E77" s="6"/>
      <c r="F77" s="6"/>
      <c r="G77" s="6"/>
      <c r="H77" s="6"/>
      <c r="I77" s="63"/>
      <c r="J77" s="63"/>
    </row>
    <row r="78" ht="12.75">
      <c r="A78" s="1" t="s">
        <v>495</v>
      </c>
    </row>
    <row r="79" spans="1:10" ht="12.75">
      <c r="A79" s="11"/>
      <c r="B79" s="95"/>
      <c r="C79" s="95"/>
      <c r="D79" s="96" t="s">
        <v>7</v>
      </c>
      <c r="E79" s="385" t="s">
        <v>256</v>
      </c>
      <c r="F79" s="385"/>
      <c r="G79" s="96" t="s">
        <v>13</v>
      </c>
      <c r="H79" s="96" t="s">
        <v>14</v>
      </c>
      <c r="I79" s="118" t="s">
        <v>494</v>
      </c>
      <c r="J79" s="3"/>
    </row>
    <row r="80" spans="1:10" ht="12.75">
      <c r="A80" s="148"/>
      <c r="B80" s="4"/>
      <c r="C80" s="4"/>
      <c r="D80" s="83" t="s">
        <v>418</v>
      </c>
      <c r="E80" s="83" t="s">
        <v>12</v>
      </c>
      <c r="F80" s="26" t="s">
        <v>237</v>
      </c>
      <c r="G80" s="83" t="s">
        <v>238</v>
      </c>
      <c r="H80" s="83" t="s">
        <v>239</v>
      </c>
      <c r="I80" s="84" t="s">
        <v>228</v>
      </c>
      <c r="J80" s="3"/>
    </row>
    <row r="81" spans="1:10" ht="12.75">
      <c r="A81" s="42" t="str">
        <f>"Capullos secos ("&amp;'Requer.'!Q30*100&amp;" % de los capullos frescos)"</f>
        <v>Capullos secos (40 % de los capullos frescos)</v>
      </c>
      <c r="B81" s="6"/>
      <c r="C81" s="6"/>
      <c r="D81" s="5">
        <f>'Requer.'!$Q$28</f>
        <v>30</v>
      </c>
      <c r="E81" s="6">
        <f>D81*$E$2*'Requer.'!$Q$30</f>
        <v>72</v>
      </c>
      <c r="F81" s="6" t="s">
        <v>25</v>
      </c>
      <c r="G81" s="179">
        <f>Datos!J57</f>
        <v>18</v>
      </c>
      <c r="H81" s="108">
        <f>E81*G81</f>
        <v>1296</v>
      </c>
      <c r="I81" s="49">
        <f>H81*$I$2</f>
        <v>7776</v>
      </c>
      <c r="J81" s="108"/>
    </row>
    <row r="82" spans="1:10" ht="12.75">
      <c r="A82" s="42" t="s">
        <v>416</v>
      </c>
      <c r="B82" s="6"/>
      <c r="C82" s="6"/>
      <c r="D82" s="113">
        <f>'Requer.'!$Q$29*D81</f>
        <v>0.44999999999999996</v>
      </c>
      <c r="E82" s="63">
        <f>$E$2*D82</f>
        <v>2.6999999999999997</v>
      </c>
      <c r="F82" s="6" t="s">
        <v>25</v>
      </c>
      <c r="G82" s="179">
        <f>Datos!J58</f>
        <v>5</v>
      </c>
      <c r="H82" s="108">
        <f>E82*G82</f>
        <v>13.499999999999998</v>
      </c>
      <c r="I82" s="89">
        <f>H82*$I$2</f>
        <v>80.99999999999999</v>
      </c>
      <c r="J82" s="108"/>
    </row>
    <row r="83" spans="1:10" ht="13.5" thickBot="1">
      <c r="A83" s="80"/>
      <c r="B83" s="4"/>
      <c r="C83" s="4"/>
      <c r="D83" s="4" t="s">
        <v>404</v>
      </c>
      <c r="E83" s="4"/>
      <c r="F83" s="4"/>
      <c r="G83" s="110"/>
      <c r="H83" s="86"/>
      <c r="I83" s="145">
        <f>I81+I82</f>
        <v>7857</v>
      </c>
      <c r="J83" s="108"/>
    </row>
    <row r="84" spans="1:9" ht="13.5" thickTop="1">
      <c r="A84" s="113"/>
      <c r="B84" s="113"/>
      <c r="C84" s="113"/>
      <c r="D84" s="113"/>
      <c r="E84" s="113"/>
      <c r="F84" s="113"/>
      <c r="G84" s="113"/>
      <c r="H84" s="379" t="s">
        <v>546</v>
      </c>
      <c r="I84" s="380">
        <f>Datos!K62</f>
        <v>39052</v>
      </c>
    </row>
    <row r="85" spans="1:9" ht="12.75">
      <c r="A85" s="87"/>
      <c r="B85" s="87"/>
      <c r="C85" s="87"/>
      <c r="D85" s="87"/>
      <c r="E85" s="87"/>
      <c r="F85" s="87"/>
      <c r="G85" s="87"/>
      <c r="H85" s="87"/>
      <c r="I85" s="87"/>
    </row>
  </sheetData>
  <sheetProtection sheet="1" objects="1" scenarios="1"/>
  <mergeCells count="2">
    <mergeCell ref="E4:F4"/>
    <mergeCell ref="E79:F79"/>
  </mergeCells>
  <dataValidations count="1">
    <dataValidation type="list" allowBlank="1" showInputMessage="1" showErrorMessage="1" sqref="G1">
      <formula1>$K$1:$K$2</formula1>
    </dataValidation>
  </dataValidations>
  <printOptions/>
  <pageMargins left="1.1811023622047245" right="0.7874015748031497" top="0.984251968503937" bottom="0.7874015748031497" header="0" footer="0"/>
  <pageSetup fitToHeight="1" fitToWidth="1" horizontalDpi="360" verticalDpi="36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3.7109375" style="0" customWidth="1"/>
    <col min="3" max="3" width="30.7109375" style="0" customWidth="1"/>
    <col min="4" max="5" width="10.7109375" style="0" customWidth="1"/>
    <col min="6" max="6" width="9.7109375" style="0" customWidth="1"/>
    <col min="7" max="7" width="10.7109375" style="0" customWidth="1"/>
    <col min="8" max="8" width="11.7109375" style="0" customWidth="1"/>
    <col min="9" max="9" width="14.7109375" style="0" customWidth="1"/>
  </cols>
  <sheetData>
    <row r="1" spans="1:9" ht="12.75">
      <c r="A1" s="1" t="s">
        <v>385</v>
      </c>
      <c r="E1" s="6"/>
      <c r="H1" s="3" t="s">
        <v>538</v>
      </c>
      <c r="I1" s="373">
        <f ca="1">TODAY()</f>
        <v>39069</v>
      </c>
    </row>
    <row r="2" spans="1:9" ht="12.75">
      <c r="A2" s="27"/>
      <c r="B2" s="95"/>
      <c r="C2" s="95"/>
      <c r="D2" s="386" t="s">
        <v>377</v>
      </c>
      <c r="E2" s="386"/>
      <c r="F2" s="385" t="s">
        <v>433</v>
      </c>
      <c r="G2" s="385"/>
      <c r="H2" s="96" t="s">
        <v>13</v>
      </c>
      <c r="I2" s="118" t="s">
        <v>494</v>
      </c>
    </row>
    <row r="3" spans="1:9" ht="12.75">
      <c r="A3" s="80"/>
      <c r="B3" s="4"/>
      <c r="C3" s="4"/>
      <c r="D3" s="384" t="s">
        <v>378</v>
      </c>
      <c r="E3" s="384"/>
      <c r="F3" s="83" t="s">
        <v>12</v>
      </c>
      <c r="G3" s="26" t="s">
        <v>24</v>
      </c>
      <c r="H3" s="83" t="s">
        <v>238</v>
      </c>
      <c r="I3" s="84" t="s">
        <v>228</v>
      </c>
    </row>
    <row r="4" spans="1:9" ht="12.75">
      <c r="A4" s="11" t="s">
        <v>236</v>
      </c>
      <c r="B4" s="95"/>
      <c r="C4" s="95"/>
      <c r="D4" s="95"/>
      <c r="E4" s="6"/>
      <c r="F4" s="95"/>
      <c r="G4" s="95"/>
      <c r="H4" s="95"/>
      <c r="I4" s="28"/>
    </row>
    <row r="5" spans="1:9" ht="12.75">
      <c r="A5" s="42"/>
      <c r="B5" s="6" t="s">
        <v>386</v>
      </c>
      <c r="C5" s="6"/>
      <c r="D5" s="6"/>
      <c r="E5" s="6"/>
      <c r="F5" s="6"/>
      <c r="G5" s="6"/>
      <c r="H5" s="6"/>
      <c r="I5" s="43"/>
    </row>
    <row r="6" spans="1:9" ht="12.75">
      <c r="A6" s="42"/>
      <c r="B6" s="6"/>
      <c r="C6" s="6" t="s">
        <v>254</v>
      </c>
      <c r="D6" s="108">
        <v>1</v>
      </c>
      <c r="E6" s="6" t="s">
        <v>25</v>
      </c>
      <c r="F6" s="8">
        <f>Cria!E81*Cria!I2</f>
        <v>432</v>
      </c>
      <c r="G6" s="6" t="s">
        <v>427</v>
      </c>
      <c r="H6" s="121">
        <f>Cria!G81</f>
        <v>18</v>
      </c>
      <c r="I6" s="122">
        <f>F6*H6</f>
        <v>7776</v>
      </c>
    </row>
    <row r="7" spans="1:9" ht="12.75">
      <c r="A7" s="42"/>
      <c r="B7" s="6"/>
      <c r="C7" s="6" t="str">
        <f>Datos!G44</f>
        <v>Gas licuado (propano)</v>
      </c>
      <c r="D7" s="128">
        <f>'Requer.'!I47*'Requer.'!I48/'Requer.'!N47/'Requer.'!N48/'Requer.'!Q48</f>
        <v>0.11261261261261261</v>
      </c>
      <c r="E7" s="6" t="s">
        <v>25</v>
      </c>
      <c r="F7" s="63">
        <f>$F$6*D7</f>
        <v>48.64864864864865</v>
      </c>
      <c r="G7" s="6" t="str">
        <f>RIGHT(VLOOKUP(C7,'Requer.'!$S$41:$U$49,3,FALSE),2)</f>
        <v>kg</v>
      </c>
      <c r="H7" s="121">
        <f>Datos!J44</f>
        <v>2.7</v>
      </c>
      <c r="I7" s="122">
        <f>F7*H7</f>
        <v>131.35135135135138</v>
      </c>
    </row>
    <row r="8" spans="1:9" ht="12.75">
      <c r="A8" s="42"/>
      <c r="B8" s="6"/>
      <c r="C8" s="6" t="s">
        <v>20</v>
      </c>
      <c r="D8" s="126">
        <f>('Requer.'!I49+'Requer.'!N49)/250/('Requer.'!Q32/1000)</f>
        <v>0.95</v>
      </c>
      <c r="E8" s="6" t="s">
        <v>242</v>
      </c>
      <c r="F8" s="63">
        <f>$F$6*D8</f>
        <v>410.4</v>
      </c>
      <c r="G8" s="6" t="s">
        <v>242</v>
      </c>
      <c r="H8" s="108">
        <f>Datos!$D$41/8</f>
        <v>2.25</v>
      </c>
      <c r="I8" s="122">
        <f>F8*H8</f>
        <v>923.4</v>
      </c>
    </row>
    <row r="9" spans="1:9" ht="12.75">
      <c r="A9" s="42"/>
      <c r="B9" s="6" t="s">
        <v>420</v>
      </c>
      <c r="C9" s="6"/>
      <c r="D9" s="6"/>
      <c r="E9" s="6"/>
      <c r="F9" s="6"/>
      <c r="G9" s="6"/>
      <c r="H9" s="6"/>
      <c r="I9" s="122"/>
    </row>
    <row r="10" spans="1:9" ht="12.75">
      <c r="A10" s="42"/>
      <c r="B10" s="6"/>
      <c r="C10" s="6" t="s">
        <v>280</v>
      </c>
      <c r="D10" s="136">
        <f>'Requer.'!$I$47*Datos!D30</f>
        <v>0.008174386920980926</v>
      </c>
      <c r="E10" s="6" t="s">
        <v>299</v>
      </c>
      <c r="F10" s="126">
        <f>$F$6*D10</f>
        <v>3.53133514986376</v>
      </c>
      <c r="G10" s="6" t="s">
        <v>299</v>
      </c>
      <c r="H10" s="123">
        <f>Datos!J45</f>
        <v>0.25</v>
      </c>
      <c r="I10" s="122">
        <f>F10*H10</f>
        <v>0.88283378746594</v>
      </c>
    </row>
    <row r="11" spans="1:9" ht="12.75">
      <c r="A11" s="42"/>
      <c r="B11" s="6"/>
      <c r="C11" s="6" t="s">
        <v>308</v>
      </c>
      <c r="D11" s="134">
        <f>'Requer.'!$I$47/Datos!$D$28</f>
        <v>0.0375</v>
      </c>
      <c r="E11" s="6" t="s">
        <v>311</v>
      </c>
      <c r="F11" s="126">
        <f>$F$6*D11</f>
        <v>16.2</v>
      </c>
      <c r="G11" s="6" t="s">
        <v>311</v>
      </c>
      <c r="H11" s="63">
        <f>Capital!$M$14</f>
        <v>0.05</v>
      </c>
      <c r="I11" s="122">
        <f>F11*H11</f>
        <v>0.81</v>
      </c>
    </row>
    <row r="12" spans="1:9" ht="12.75">
      <c r="A12" s="42"/>
      <c r="B12" s="6" t="s">
        <v>391</v>
      </c>
      <c r="C12" s="6"/>
      <c r="D12" s="6"/>
      <c r="E12" s="6"/>
      <c r="F12" s="6"/>
      <c r="G12" s="6"/>
      <c r="H12" s="121"/>
      <c r="I12" s="122"/>
    </row>
    <row r="13" spans="1:9" ht="12.75">
      <c r="A13" s="42"/>
      <c r="B13" s="6"/>
      <c r="C13" s="6" t="s">
        <v>20</v>
      </c>
      <c r="D13" s="63">
        <f>Datos!J23/Datos!J22</f>
        <v>0.5882352941176471</v>
      </c>
      <c r="E13" s="6" t="s">
        <v>242</v>
      </c>
      <c r="F13" s="63">
        <f>$F$6*D13</f>
        <v>254.11764705882354</v>
      </c>
      <c r="G13" s="6" t="s">
        <v>242</v>
      </c>
      <c r="H13" s="108">
        <f>Datos!$D$41/8</f>
        <v>2.25</v>
      </c>
      <c r="I13" s="122">
        <f>F13*H13</f>
        <v>571.7647058823529</v>
      </c>
    </row>
    <row r="14" spans="1:9" ht="13.5" thickBot="1">
      <c r="A14" s="42"/>
      <c r="B14" s="6"/>
      <c r="C14" s="113" t="s">
        <v>280</v>
      </c>
      <c r="D14" s="269">
        <f>Datos!J24/Datos!J22</f>
        <v>0</v>
      </c>
      <c r="E14" s="270" t="s">
        <v>299</v>
      </c>
      <c r="F14" s="63">
        <f>$F$6*D14</f>
        <v>0</v>
      </c>
      <c r="G14" s="6" t="s">
        <v>299</v>
      </c>
      <c r="H14" s="121">
        <f>Datos!J45</f>
        <v>0.25</v>
      </c>
      <c r="I14" s="122">
        <f>F14*H14</f>
        <v>0</v>
      </c>
    </row>
    <row r="15" spans="1:9" ht="13.5" thickTop="1">
      <c r="A15" s="42"/>
      <c r="B15" s="6"/>
      <c r="C15" s="6"/>
      <c r="D15" s="146" t="s">
        <v>400</v>
      </c>
      <c r="E15" s="6"/>
      <c r="F15" s="152">
        <f>$F$6*Datos!$J$15*Datos!$J$16</f>
        <v>143.9424</v>
      </c>
      <c r="G15" s="8" t="s">
        <v>424</v>
      </c>
      <c r="H15" s="121"/>
      <c r="I15" s="122"/>
    </row>
    <row r="16" spans="1:9" ht="12.75">
      <c r="A16" s="42"/>
      <c r="B16" s="113" t="s">
        <v>513</v>
      </c>
      <c r="C16" s="6"/>
      <c r="D16" s="6"/>
      <c r="E16" s="6"/>
      <c r="F16" s="6"/>
      <c r="G16" s="6"/>
      <c r="H16" s="121"/>
      <c r="I16" s="122">
        <f>F16*H16</f>
        <v>0</v>
      </c>
    </row>
    <row r="17" spans="1:9" ht="12.75">
      <c r="A17" s="42"/>
      <c r="B17" s="113"/>
      <c r="C17" s="6" t="s">
        <v>20</v>
      </c>
      <c r="D17" s="346">
        <v>0.5</v>
      </c>
      <c r="E17" s="6" t="s">
        <v>242</v>
      </c>
      <c r="F17" s="63">
        <f>$F$15*D17</f>
        <v>71.9712</v>
      </c>
      <c r="G17" s="6" t="s">
        <v>242</v>
      </c>
      <c r="H17" s="108">
        <f>Datos!$D$41/8</f>
        <v>2.25</v>
      </c>
      <c r="I17" s="122">
        <f>F17*H17</f>
        <v>161.93519999999998</v>
      </c>
    </row>
    <row r="18" spans="1:9" ht="12.75">
      <c r="A18" s="42"/>
      <c r="B18" s="6"/>
      <c r="C18" s="147" t="s">
        <v>355</v>
      </c>
      <c r="D18" s="336">
        <v>0.27</v>
      </c>
      <c r="E18" s="6" t="s">
        <v>358</v>
      </c>
      <c r="F18" s="63">
        <f>$F$15*D18</f>
        <v>38.864448</v>
      </c>
      <c r="G18" s="6" t="s">
        <v>358</v>
      </c>
      <c r="H18" s="121">
        <f>Datos!J50</f>
        <v>1</v>
      </c>
      <c r="I18" s="122">
        <f>F18*H18</f>
        <v>38.864448</v>
      </c>
    </row>
    <row r="19" spans="1:9" ht="12.75">
      <c r="A19" s="42"/>
      <c r="B19" s="6"/>
      <c r="C19" s="147" t="s">
        <v>356</v>
      </c>
      <c r="D19" s="336">
        <v>0.03</v>
      </c>
      <c r="E19" s="6" t="s">
        <v>25</v>
      </c>
      <c r="F19" s="63">
        <f>$F$15*D19</f>
        <v>4.3182719999999994</v>
      </c>
      <c r="G19" s="6" t="s">
        <v>25</v>
      </c>
      <c r="H19" s="121">
        <f>Datos!J51</f>
        <v>0.7</v>
      </c>
      <c r="I19" s="122">
        <f>F19*H19</f>
        <v>3.0227903999999994</v>
      </c>
    </row>
    <row r="20" spans="1:9" ht="12.75">
      <c r="A20" s="42"/>
      <c r="B20" s="6"/>
      <c r="C20" s="147" t="s">
        <v>357</v>
      </c>
      <c r="D20" s="336">
        <v>0.02</v>
      </c>
      <c r="E20" s="6" t="s">
        <v>270</v>
      </c>
      <c r="F20" s="63">
        <f>$F$15*D20</f>
        <v>2.878848</v>
      </c>
      <c r="G20" s="6" t="s">
        <v>270</v>
      </c>
      <c r="H20" s="121">
        <f>Datos!J52</f>
        <v>1</v>
      </c>
      <c r="I20" s="122">
        <f>F20*H20</f>
        <v>2.878848</v>
      </c>
    </row>
    <row r="21" spans="1:9" ht="12.75">
      <c r="A21" s="42"/>
      <c r="B21" s="6" t="s">
        <v>463</v>
      </c>
      <c r="C21" s="6"/>
      <c r="D21" s="63"/>
      <c r="E21" s="6"/>
      <c r="F21" s="63"/>
      <c r="G21" s="6"/>
      <c r="H21" s="121"/>
      <c r="I21" s="122"/>
    </row>
    <row r="22" spans="1:9" ht="12.75">
      <c r="A22" s="42"/>
      <c r="B22" s="6"/>
      <c r="C22" s="6" t="s">
        <v>20</v>
      </c>
      <c r="D22" s="346">
        <v>0.1</v>
      </c>
      <c r="E22" s="6" t="s">
        <v>242</v>
      </c>
      <c r="F22" s="63">
        <f>$F$15*D22</f>
        <v>14.39424</v>
      </c>
      <c r="G22" s="6" t="s">
        <v>242</v>
      </c>
      <c r="H22" s="108">
        <f>Datos!$D$41/8</f>
        <v>2.25</v>
      </c>
      <c r="I22" s="122">
        <f>F22*H22</f>
        <v>32.38704</v>
      </c>
    </row>
    <row r="23" spans="1:9" ht="12.75">
      <c r="A23" s="42"/>
      <c r="B23" s="6" t="s">
        <v>421</v>
      </c>
      <c r="C23" s="6"/>
      <c r="D23" s="6"/>
      <c r="E23" s="6"/>
      <c r="F23" s="6"/>
      <c r="G23" s="6"/>
      <c r="H23" s="6"/>
      <c r="I23" s="122"/>
    </row>
    <row r="24" spans="1:9" ht="12.75">
      <c r="A24" s="42"/>
      <c r="B24" s="6"/>
      <c r="C24" s="6" t="s">
        <v>280</v>
      </c>
      <c r="D24" s="136">
        <f>'Requer.'!$I$50*Datos!D$30</f>
        <v>0.0010899182561307902</v>
      </c>
      <c r="E24" s="6" t="s">
        <v>299</v>
      </c>
      <c r="F24" s="126">
        <f>$F$15*D24</f>
        <v>0.15688544959128065</v>
      </c>
      <c r="G24" s="6" t="s">
        <v>299</v>
      </c>
      <c r="H24" s="123">
        <f>Datos!J45</f>
        <v>0.25</v>
      </c>
      <c r="I24" s="122">
        <f>F24*H24</f>
        <v>0.03922136239782016</v>
      </c>
    </row>
    <row r="25" spans="1:9" ht="13.5" thickBot="1">
      <c r="A25" s="42"/>
      <c r="B25" s="6"/>
      <c r="C25" s="6" t="s">
        <v>308</v>
      </c>
      <c r="D25" s="271">
        <f>'Requer.'!$I$47/Datos!$D$28</f>
        <v>0.0375</v>
      </c>
      <c r="E25" s="270" t="s">
        <v>311</v>
      </c>
      <c r="F25" s="126">
        <f>$F$15*D25</f>
        <v>5.3978399999999995</v>
      </c>
      <c r="G25" s="6" t="s">
        <v>311</v>
      </c>
      <c r="H25" s="63">
        <f>Capital!$M$14</f>
        <v>0.05</v>
      </c>
      <c r="I25" s="122">
        <f>F25*H25</f>
        <v>0.26989199999999997</v>
      </c>
    </row>
    <row r="26" spans="1:9" ht="13.5" thickTop="1">
      <c r="A26" s="42"/>
      <c r="B26" s="6"/>
      <c r="C26" s="6"/>
      <c r="D26" s="146" t="s">
        <v>425</v>
      </c>
      <c r="E26" s="6"/>
      <c r="F26" s="152">
        <f>$F$6*Datos!$J$15*Datos!J17+F27</f>
        <v>45.05760000000001</v>
      </c>
      <c r="G26" s="8" t="s">
        <v>426</v>
      </c>
      <c r="H26" s="121"/>
      <c r="I26" s="122"/>
    </row>
    <row r="27" spans="1:9" ht="12.75">
      <c r="A27" s="42"/>
      <c r="B27" s="6" t="s">
        <v>414</v>
      </c>
      <c r="C27" s="6"/>
      <c r="D27" s="146"/>
      <c r="E27" s="6"/>
      <c r="F27" s="126">
        <f>Cria!E82*Cria!I2</f>
        <v>16.2</v>
      </c>
      <c r="G27" s="113" t="s">
        <v>403</v>
      </c>
      <c r="H27" s="109"/>
      <c r="I27" s="122">
        <f>Cria!I82</f>
        <v>80.99999999999999</v>
      </c>
    </row>
    <row r="28" spans="1:9" ht="12.75">
      <c r="A28" s="42"/>
      <c r="B28" s="113" t="s">
        <v>415</v>
      </c>
      <c r="C28" s="6"/>
      <c r="D28" s="6"/>
      <c r="E28" s="6"/>
      <c r="F28" s="6"/>
      <c r="G28" s="6"/>
      <c r="H28" s="121"/>
      <c r="I28" s="122"/>
    </row>
    <row r="29" spans="1:9" ht="12.75">
      <c r="A29" s="42"/>
      <c r="B29" s="113"/>
      <c r="C29" s="6" t="s">
        <v>20</v>
      </c>
      <c r="D29" s="346">
        <v>0.5</v>
      </c>
      <c r="E29" s="6" t="s">
        <v>242</v>
      </c>
      <c r="F29" s="63">
        <f>$F$26*D29</f>
        <v>22.528800000000004</v>
      </c>
      <c r="G29" s="6" t="s">
        <v>242</v>
      </c>
      <c r="H29" s="108">
        <f>Datos!$D$41/8</f>
        <v>2.25</v>
      </c>
      <c r="I29" s="122">
        <f>F29*H29</f>
        <v>50.689800000000005</v>
      </c>
    </row>
    <row r="30" spans="1:9" ht="12.75">
      <c r="A30" s="42"/>
      <c r="B30" s="6"/>
      <c r="C30" s="147" t="s">
        <v>355</v>
      </c>
      <c r="D30" s="336">
        <v>0.27</v>
      </c>
      <c r="E30" s="6" t="s">
        <v>358</v>
      </c>
      <c r="F30" s="63">
        <f>$F$26*D30</f>
        <v>12.165552000000003</v>
      </c>
      <c r="G30" s="6" t="s">
        <v>358</v>
      </c>
      <c r="H30" s="121">
        <f>Datos!J50</f>
        <v>1</v>
      </c>
      <c r="I30" s="122">
        <f>F30*H30</f>
        <v>12.165552000000003</v>
      </c>
    </row>
    <row r="31" spans="1:9" ht="12.75">
      <c r="A31" s="42"/>
      <c r="B31" s="6"/>
      <c r="C31" s="147" t="s">
        <v>356</v>
      </c>
      <c r="D31" s="336">
        <v>0.03</v>
      </c>
      <c r="E31" s="6" t="s">
        <v>25</v>
      </c>
      <c r="F31" s="63">
        <f>$F$26*D31</f>
        <v>1.3517280000000003</v>
      </c>
      <c r="G31" s="6" t="s">
        <v>25</v>
      </c>
      <c r="H31" s="121">
        <f>Datos!J51</f>
        <v>0.7</v>
      </c>
      <c r="I31" s="122">
        <f>F31*H31</f>
        <v>0.9462096000000001</v>
      </c>
    </row>
    <row r="32" spans="1:9" ht="12.75">
      <c r="A32" s="42"/>
      <c r="B32" s="6"/>
      <c r="C32" s="147" t="s">
        <v>357</v>
      </c>
      <c r="D32" s="336">
        <v>0.02</v>
      </c>
      <c r="E32" s="6" t="s">
        <v>270</v>
      </c>
      <c r="F32" s="63">
        <f>$F$26*D32</f>
        <v>0.9011520000000002</v>
      </c>
      <c r="G32" s="6" t="s">
        <v>270</v>
      </c>
      <c r="H32" s="121">
        <f>Datos!J52</f>
        <v>1</v>
      </c>
      <c r="I32" s="122">
        <f>F32*H32</f>
        <v>0.9011520000000002</v>
      </c>
    </row>
    <row r="33" spans="1:9" ht="12.75">
      <c r="A33" s="42"/>
      <c r="B33" s="6" t="s">
        <v>463</v>
      </c>
      <c r="C33" s="6"/>
      <c r="D33" s="63"/>
      <c r="E33" s="6"/>
      <c r="F33" s="63"/>
      <c r="G33" s="6"/>
      <c r="H33" s="121"/>
      <c r="I33" s="122"/>
    </row>
    <row r="34" spans="1:9" ht="12.75">
      <c r="A34" s="42"/>
      <c r="B34" s="6"/>
      <c r="C34" s="6" t="s">
        <v>20</v>
      </c>
      <c r="D34" s="346">
        <v>0.1</v>
      </c>
      <c r="E34" s="6" t="s">
        <v>242</v>
      </c>
      <c r="F34" s="63">
        <f>$F$26*D34</f>
        <v>4.505760000000001</v>
      </c>
      <c r="G34" s="6" t="s">
        <v>242</v>
      </c>
      <c r="H34" s="108">
        <f>Datos!$D$41/8</f>
        <v>2.25</v>
      </c>
      <c r="I34" s="122">
        <f>F34*H34</f>
        <v>10.137960000000003</v>
      </c>
    </row>
    <row r="35" spans="1:9" ht="12.75">
      <c r="A35" s="42"/>
      <c r="B35" s="6" t="s">
        <v>421</v>
      </c>
      <c r="C35" s="6"/>
      <c r="D35" s="6"/>
      <c r="E35" s="6"/>
      <c r="F35" s="6"/>
      <c r="G35" s="6"/>
      <c r="H35" s="6"/>
      <c r="I35" s="122"/>
    </row>
    <row r="36" spans="1:9" ht="12.75">
      <c r="A36" s="42"/>
      <c r="B36" s="6"/>
      <c r="C36" s="6" t="s">
        <v>280</v>
      </c>
      <c r="D36" s="136">
        <f>'Requer.'!$I$50*Datos!$D$30</f>
        <v>0.0010899182561307902</v>
      </c>
      <c r="E36" s="6" t="s">
        <v>299</v>
      </c>
      <c r="F36" s="63">
        <f>$F$26*D36</f>
        <v>0.0491091008174387</v>
      </c>
      <c r="G36" s="6" t="s">
        <v>299</v>
      </c>
      <c r="H36" s="123">
        <f>Datos!J45</f>
        <v>0.25</v>
      </c>
      <c r="I36" s="122">
        <f>F36*H36</f>
        <v>0.012277275204359676</v>
      </c>
    </row>
    <row r="37" spans="1:9" ht="13.5" thickBot="1">
      <c r="A37" s="42"/>
      <c r="B37" s="6"/>
      <c r="C37" s="6" t="s">
        <v>308</v>
      </c>
      <c r="D37" s="271">
        <f>'Requer.'!$I$47/Datos!$D$28</f>
        <v>0.0375</v>
      </c>
      <c r="E37" s="270" t="s">
        <v>311</v>
      </c>
      <c r="F37" s="63">
        <f>$F$26*D37</f>
        <v>1.6896600000000002</v>
      </c>
      <c r="G37" s="6" t="s">
        <v>311</v>
      </c>
      <c r="H37" s="63">
        <f>Capital!$M$14</f>
        <v>0.05</v>
      </c>
      <c r="I37" s="122">
        <f>F37*H37</f>
        <v>0.08448300000000002</v>
      </c>
    </row>
    <row r="38" spans="1:9" ht="13.5" thickTop="1">
      <c r="A38" s="42"/>
      <c r="B38" s="6" t="s">
        <v>265</v>
      </c>
      <c r="C38" s="6"/>
      <c r="D38" s="63"/>
      <c r="E38" s="6"/>
      <c r="F38" s="63"/>
      <c r="G38" s="6"/>
      <c r="H38" s="121"/>
      <c r="I38" s="122"/>
    </row>
    <row r="39" spans="1:9" ht="12.75">
      <c r="A39" s="42"/>
      <c r="B39" s="6"/>
      <c r="C39" s="6" t="s">
        <v>406</v>
      </c>
      <c r="D39" s="63"/>
      <c r="E39" s="6"/>
      <c r="F39" s="63"/>
      <c r="G39" s="6"/>
      <c r="H39" s="121"/>
      <c r="I39" s="122">
        <f>-Cria!$I$43</f>
        <v>-104.14285714285712</v>
      </c>
    </row>
    <row r="40" spans="1:9" ht="12.75">
      <c r="A40" s="42"/>
      <c r="B40" s="6"/>
      <c r="C40" s="113" t="s">
        <v>410</v>
      </c>
      <c r="D40" s="284">
        <v>1</v>
      </c>
      <c r="E40" s="6" t="s">
        <v>369</v>
      </c>
      <c r="F40" s="63">
        <f>($F$15+$F$26)*D40</f>
        <v>189</v>
      </c>
      <c r="G40" s="6" t="s">
        <v>369</v>
      </c>
      <c r="H40" s="121">
        <f>Datos!J53</f>
        <v>0.1</v>
      </c>
      <c r="I40" s="122">
        <f>F40*H40</f>
        <v>18.900000000000002</v>
      </c>
    </row>
    <row r="41" spans="1:9" ht="12.75">
      <c r="A41" s="42"/>
      <c r="B41" s="6"/>
      <c r="C41" s="113" t="s">
        <v>459</v>
      </c>
      <c r="D41" s="284">
        <f>1/10</f>
        <v>0.1</v>
      </c>
      <c r="E41" s="6" t="s">
        <v>408</v>
      </c>
      <c r="F41" s="63">
        <f>($F$15+$F$26)*D41</f>
        <v>18.900000000000002</v>
      </c>
      <c r="G41" s="6" t="s">
        <v>408</v>
      </c>
      <c r="H41" s="121">
        <f>Datos!J54</f>
        <v>7</v>
      </c>
      <c r="I41" s="122">
        <f>F41*H41</f>
        <v>132.3</v>
      </c>
    </row>
    <row r="42" spans="1:9" ht="12.75">
      <c r="A42" s="42"/>
      <c r="B42" s="6" t="s">
        <v>266</v>
      </c>
      <c r="C42" s="6"/>
      <c r="D42" s="6"/>
      <c r="E42" s="6"/>
      <c r="F42" s="6"/>
      <c r="G42" s="6"/>
      <c r="H42" s="121"/>
      <c r="I42" s="122">
        <f>F42*H42</f>
        <v>0</v>
      </c>
    </row>
    <row r="43" spans="1:9" ht="12.75">
      <c r="A43" s="42"/>
      <c r="B43" s="6" t="s">
        <v>382</v>
      </c>
      <c r="C43" s="6"/>
      <c r="D43" s="112"/>
      <c r="E43" s="6"/>
      <c r="F43" s="63"/>
      <c r="G43" s="6"/>
      <c r="H43" s="63"/>
      <c r="I43" s="122"/>
    </row>
    <row r="44" spans="1:9" ht="12.75">
      <c r="A44" s="42"/>
      <c r="B44" s="6"/>
      <c r="C44" s="113" t="s">
        <v>338</v>
      </c>
      <c r="D44" s="112"/>
      <c r="E44" s="6"/>
      <c r="F44" s="137">
        <f>Datos!J32*Datos!J33*Datos!J34*Capital!B50/1000</f>
        <v>24.309926470588234</v>
      </c>
      <c r="G44" s="6" t="s">
        <v>299</v>
      </c>
      <c r="H44" s="63">
        <f>Datos!J45</f>
        <v>0.25</v>
      </c>
      <c r="I44" s="122">
        <f>F44*H44</f>
        <v>6.0774816176470585</v>
      </c>
    </row>
    <row r="45" spans="1:9" ht="12.75">
      <c r="A45" s="42"/>
      <c r="B45" s="6" t="s">
        <v>383</v>
      </c>
      <c r="C45" s="6"/>
      <c r="D45" s="6"/>
      <c r="E45" s="6"/>
      <c r="F45" s="6"/>
      <c r="G45" s="6"/>
      <c r="H45" s="121"/>
      <c r="I45" s="122"/>
    </row>
    <row r="46" spans="1:9" ht="12.75">
      <c r="A46" s="42"/>
      <c r="B46" s="6" t="s">
        <v>483</v>
      </c>
      <c r="C46" s="6"/>
      <c r="D46" s="6"/>
      <c r="E46" s="6"/>
      <c r="F46" s="6"/>
      <c r="G46" s="6"/>
      <c r="H46" s="121"/>
      <c r="I46" s="122"/>
    </row>
    <row r="47" spans="1:9" ht="12.75">
      <c r="A47" s="42"/>
      <c r="C47" s="6" t="s">
        <v>490</v>
      </c>
      <c r="D47" s="6"/>
      <c r="E47" s="6"/>
      <c r="F47" s="6"/>
      <c r="G47" s="6"/>
      <c r="H47" s="121"/>
      <c r="I47" s="122">
        <f>Capital!M50</f>
        <v>20</v>
      </c>
    </row>
    <row r="48" spans="1:9" ht="12.75">
      <c r="A48" s="42"/>
      <c r="C48" s="6" t="s">
        <v>491</v>
      </c>
      <c r="D48" s="6"/>
      <c r="E48" s="6"/>
      <c r="F48" s="6"/>
      <c r="G48" s="6"/>
      <c r="H48" s="121"/>
      <c r="I48" s="122">
        <f>Capital!M52</f>
        <v>0</v>
      </c>
    </row>
    <row r="49" spans="1:9" ht="12.75">
      <c r="A49" s="42"/>
      <c r="C49" s="6" t="s">
        <v>492</v>
      </c>
      <c r="D49" s="6"/>
      <c r="E49" s="6"/>
      <c r="F49" s="6"/>
      <c r="G49" s="6"/>
      <c r="H49" s="121"/>
      <c r="I49" s="122">
        <f>SUM(Capital!M54:M57)</f>
        <v>7</v>
      </c>
    </row>
    <row r="50" spans="1:9" ht="12.75">
      <c r="A50" s="42"/>
      <c r="C50" s="6" t="s">
        <v>493</v>
      </c>
      <c r="D50" s="6"/>
      <c r="E50" s="6"/>
      <c r="F50" s="6"/>
      <c r="G50" s="6"/>
      <c r="H50" s="121"/>
      <c r="I50" s="122">
        <f>SUM(Capital!M59:M61)</f>
        <v>0.3</v>
      </c>
    </row>
    <row r="51" spans="1:9" ht="12.75">
      <c r="A51" s="42"/>
      <c r="B51" s="113" t="s">
        <v>380</v>
      </c>
      <c r="D51" s="6"/>
      <c r="E51" s="6"/>
      <c r="F51" s="6"/>
      <c r="G51" s="6"/>
      <c r="H51" s="121"/>
      <c r="I51" s="119">
        <v>0</v>
      </c>
    </row>
    <row r="52" spans="1:9" ht="12.75">
      <c r="A52" s="42"/>
      <c r="B52" s="113"/>
      <c r="C52" s="6"/>
      <c r="D52" s="6"/>
      <c r="E52" s="6"/>
      <c r="F52" s="6"/>
      <c r="G52" s="121"/>
      <c r="H52" s="121"/>
      <c r="I52" s="122"/>
    </row>
    <row r="53" spans="1:9" ht="12.75">
      <c r="A53" s="42"/>
      <c r="B53" s="6" t="s">
        <v>263</v>
      </c>
      <c r="C53" s="6"/>
      <c r="D53" s="9">
        <v>0.1</v>
      </c>
      <c r="E53" s="6" t="s">
        <v>264</v>
      </c>
      <c r="F53" s="6"/>
      <c r="G53" s="121"/>
      <c r="H53" s="121"/>
      <c r="I53" s="124">
        <f>$D$53*SUM(I6:I52)</f>
        <v>987.9978389133563</v>
      </c>
    </row>
    <row r="54" spans="1:9" ht="12.75">
      <c r="A54" s="42"/>
      <c r="B54" s="6" t="s">
        <v>251</v>
      </c>
      <c r="C54" s="6"/>
      <c r="D54" s="6"/>
      <c r="E54" s="6"/>
      <c r="F54" s="6"/>
      <c r="G54" s="121"/>
      <c r="H54" s="121"/>
      <c r="I54" s="122">
        <f>SUM(I6:I53)</f>
        <v>10867.976228046919</v>
      </c>
    </row>
    <row r="55" spans="1:9" ht="12.75">
      <c r="A55" s="42"/>
      <c r="B55" s="6"/>
      <c r="C55" s="6"/>
      <c r="D55" s="6"/>
      <c r="E55" s="6"/>
      <c r="F55" s="6"/>
      <c r="G55" s="121"/>
      <c r="H55" s="121"/>
      <c r="I55" s="43"/>
    </row>
    <row r="56" spans="1:9" ht="12.75">
      <c r="A56" s="20" t="s">
        <v>252</v>
      </c>
      <c r="B56" s="6"/>
      <c r="C56" s="6"/>
      <c r="D56" s="6"/>
      <c r="E56" s="6"/>
      <c r="F56" s="6"/>
      <c r="G56" s="121"/>
      <c r="H56" s="121"/>
      <c r="I56" s="122">
        <f>Capital!$I$62</f>
        <v>166.66666666666669</v>
      </c>
    </row>
    <row r="57" spans="1:9" ht="12.75">
      <c r="A57" s="20" t="s">
        <v>253</v>
      </c>
      <c r="B57" s="6"/>
      <c r="C57" s="6"/>
      <c r="D57" s="6"/>
      <c r="E57" s="6"/>
      <c r="F57" s="6"/>
      <c r="G57" s="6"/>
      <c r="H57" s="6"/>
      <c r="I57" s="124">
        <f>Capital!$J$62</f>
        <v>96.20000000000002</v>
      </c>
    </row>
    <row r="58" spans="1:9" ht="13.5" thickBot="1">
      <c r="A58" s="148" t="s">
        <v>325</v>
      </c>
      <c r="B58" s="4"/>
      <c r="C58" s="4"/>
      <c r="D58" s="4"/>
      <c r="E58" s="4"/>
      <c r="F58" s="4"/>
      <c r="G58" s="4"/>
      <c r="H58" s="4"/>
      <c r="I58" s="144">
        <f>I54+I56+I57</f>
        <v>11130.842894713585</v>
      </c>
    </row>
    <row r="59" ht="13.5" thickTop="1"/>
    <row r="60" ht="12.75">
      <c r="A60" s="1" t="s">
        <v>496</v>
      </c>
    </row>
    <row r="61" spans="1:9" ht="12.75">
      <c r="A61" s="11"/>
      <c r="B61" s="95"/>
      <c r="C61" s="95"/>
      <c r="D61" s="95"/>
      <c r="E61" s="95"/>
      <c r="F61" s="385" t="s">
        <v>497</v>
      </c>
      <c r="G61" s="385"/>
      <c r="H61" s="96" t="s">
        <v>13</v>
      </c>
      <c r="I61" s="118" t="s">
        <v>494</v>
      </c>
    </row>
    <row r="62" spans="1:9" ht="12.75">
      <c r="A62" s="148"/>
      <c r="B62" s="4"/>
      <c r="C62" s="4"/>
      <c r="D62" s="83"/>
      <c r="E62" s="4"/>
      <c r="F62" s="83" t="s">
        <v>12</v>
      </c>
      <c r="G62" s="26" t="s">
        <v>237</v>
      </c>
      <c r="H62" s="83" t="s">
        <v>238</v>
      </c>
      <c r="I62" s="84" t="s">
        <v>228</v>
      </c>
    </row>
    <row r="63" spans="1:9" ht="12.75">
      <c r="A63" s="11"/>
      <c r="B63" s="95" t="s">
        <v>430</v>
      </c>
      <c r="C63" s="95"/>
      <c r="D63" s="95"/>
      <c r="E63" s="95"/>
      <c r="F63" s="149">
        <f>F15*Datos!$J$18</f>
        <v>143.9424</v>
      </c>
      <c r="G63" s="150" t="s">
        <v>403</v>
      </c>
      <c r="H63" s="377">
        <f>Datos!J59</f>
        <v>90</v>
      </c>
      <c r="I63" s="151">
        <f>F63*H63</f>
        <v>12954.815999999999</v>
      </c>
    </row>
    <row r="64" spans="1:9" ht="12.75">
      <c r="A64" s="42"/>
      <c r="B64" s="6" t="s">
        <v>434</v>
      </c>
      <c r="C64" s="6"/>
      <c r="D64" s="6"/>
      <c r="E64" s="6"/>
      <c r="F64" s="126">
        <f>F26*Datos!$J$19</f>
        <v>45.05760000000001</v>
      </c>
      <c r="G64" s="113" t="s">
        <v>403</v>
      </c>
      <c r="H64" s="377">
        <f>Datos!J60</f>
        <v>70</v>
      </c>
      <c r="I64" s="122">
        <f>F64*H64</f>
        <v>3154.0320000000006</v>
      </c>
    </row>
    <row r="65" spans="1:9" ht="12.75">
      <c r="A65" s="42"/>
      <c r="B65" s="6" t="s">
        <v>480</v>
      </c>
      <c r="C65" s="6"/>
      <c r="D65" s="6"/>
      <c r="E65" s="6"/>
      <c r="F65" s="14"/>
      <c r="G65" s="6"/>
      <c r="H65" s="14"/>
      <c r="I65" s="122">
        <f>F65*H65</f>
        <v>0</v>
      </c>
    </row>
    <row r="66" spans="1:9" ht="13.5" thickBot="1">
      <c r="A66" s="80"/>
      <c r="B66" s="4"/>
      <c r="C66" s="4"/>
      <c r="D66" s="4" t="s">
        <v>404</v>
      </c>
      <c r="E66" s="4"/>
      <c r="F66" s="217">
        <f>SUM(F63:F65)</f>
        <v>189</v>
      </c>
      <c r="G66" s="4" t="s">
        <v>403</v>
      </c>
      <c r="H66" s="4"/>
      <c r="I66" s="144">
        <f>SUM(I63:I65)</f>
        <v>16108.848</v>
      </c>
    </row>
    <row r="67" spans="1:9" ht="13.5" thickTop="1">
      <c r="A67" s="6"/>
      <c r="B67" s="6"/>
      <c r="C67" s="6"/>
      <c r="D67" s="6"/>
      <c r="E67" s="6"/>
      <c r="F67" s="6"/>
      <c r="G67" s="6"/>
      <c r="H67" s="379" t="s">
        <v>546</v>
      </c>
      <c r="I67" s="380">
        <f>Datos!K62</f>
        <v>39052</v>
      </c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</sheetData>
  <sheetProtection sheet="1" objects="1" scenarios="1"/>
  <mergeCells count="4">
    <mergeCell ref="F2:G2"/>
    <mergeCell ref="F61:G61"/>
    <mergeCell ref="D2:E2"/>
    <mergeCell ref="D3:E3"/>
  </mergeCells>
  <printOptions/>
  <pageMargins left="1.1811023622047245" right="0.7874015748031497" top="0.984251968503937" bottom="0.7874015748031497" header="0" footer="0"/>
  <pageSetup fitToHeight="1" fitToWidth="1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A55">
      <selection activeCell="F20" sqref="F20"/>
    </sheetView>
  </sheetViews>
  <sheetFormatPr defaultColWidth="11.421875" defaultRowHeight="12.75"/>
  <cols>
    <col min="1" max="1" width="40.140625" style="0" customWidth="1"/>
    <col min="2" max="4" width="13.7109375" style="0" customWidth="1"/>
  </cols>
  <sheetData>
    <row r="1" spans="1:9" ht="12.75">
      <c r="A1" s="219" t="s">
        <v>384</v>
      </c>
      <c r="B1" s="220"/>
      <c r="C1" s="220"/>
      <c r="D1" s="220"/>
      <c r="E1" s="220"/>
      <c r="H1" s="369" t="s">
        <v>538</v>
      </c>
      <c r="I1" s="370">
        <f ca="1">TODAY()</f>
        <v>39069</v>
      </c>
    </row>
    <row r="2" spans="1:9" ht="12.75">
      <c r="A2" s="273"/>
      <c r="B2" s="274" t="s">
        <v>512</v>
      </c>
      <c r="C2" s="274" t="s">
        <v>328</v>
      </c>
      <c r="D2" s="274" t="s">
        <v>504</v>
      </c>
      <c r="E2" s="223" t="s">
        <v>230</v>
      </c>
      <c r="F2" s="223"/>
      <c r="G2" s="274"/>
      <c r="H2" s="223"/>
      <c r="I2" s="246"/>
    </row>
    <row r="3" spans="1:9" ht="12.75">
      <c r="A3" s="231"/>
      <c r="B3" s="275" t="s">
        <v>228</v>
      </c>
      <c r="C3" s="275" t="s">
        <v>329</v>
      </c>
      <c r="D3" s="275" t="s">
        <v>229</v>
      </c>
      <c r="E3" s="233"/>
      <c r="F3" s="233"/>
      <c r="G3" s="233"/>
      <c r="H3" s="233"/>
      <c r="I3" s="235"/>
    </row>
    <row r="4" spans="1:9" ht="12.75">
      <c r="A4" s="226" t="s">
        <v>225</v>
      </c>
      <c r="B4" s="254">
        <f>Cria!$I$83</f>
        <v>7857</v>
      </c>
      <c r="C4" s="254">
        <f>B4/Cria!$E$81/Cria!$I$2</f>
        <v>18.1875</v>
      </c>
      <c r="D4" s="254">
        <f>B4/Datos!$D$9</f>
        <v>5.442840525633573</v>
      </c>
      <c r="E4" s="227"/>
      <c r="F4" s="227"/>
      <c r="G4" s="227"/>
      <c r="H4" s="227"/>
      <c r="I4" s="248"/>
    </row>
    <row r="5" spans="1:9" ht="12.75">
      <c r="A5" s="226" t="s">
        <v>226</v>
      </c>
      <c r="B5" s="276">
        <f>Cria!$I$76</f>
        <v>15077.161895731479</v>
      </c>
      <c r="C5" s="276">
        <f>B5/Cria!$E$81/Cria!$I$2</f>
        <v>34.900837721600645</v>
      </c>
      <c r="D5" s="276">
        <f>B5/Datos!$D$9</f>
        <v>10.444519253866055</v>
      </c>
      <c r="E5" s="227"/>
      <c r="F5" s="227"/>
      <c r="G5" s="227"/>
      <c r="H5" s="227"/>
      <c r="I5" s="248"/>
    </row>
    <row r="6" spans="1:9" ht="12.75">
      <c r="A6" s="226" t="s">
        <v>227</v>
      </c>
      <c r="B6" s="254">
        <f>B4-B5</f>
        <v>-7220.161895731479</v>
      </c>
      <c r="C6" s="254">
        <f>C4-C5</f>
        <v>-16.713337721600645</v>
      </c>
      <c r="D6" s="254">
        <f>D4-D5</f>
        <v>-5.001678728232482</v>
      </c>
      <c r="E6" s="227" t="str">
        <f>IF(B6&lt;=0,"No se remunera el riesgo empresario","")</f>
        <v>No se remunera el riesgo empresario</v>
      </c>
      <c r="F6" s="227"/>
      <c r="G6" s="227"/>
      <c r="H6" s="227"/>
      <c r="I6" s="248"/>
    </row>
    <row r="7" spans="1:9" ht="12.75">
      <c r="A7" s="226" t="s">
        <v>511</v>
      </c>
      <c r="B7" s="276">
        <f>Capital!$J$40</f>
        <v>3047.93101279452</v>
      </c>
      <c r="C7" s="276">
        <f>B7/Cria!$E$81/Cria!$I$2</f>
        <v>7.055395862950277</v>
      </c>
      <c r="D7" s="276">
        <f>B7/Datos!$D$9</f>
        <v>2.111416881223545</v>
      </c>
      <c r="E7" s="227"/>
      <c r="F7" s="227"/>
      <c r="G7" s="227"/>
      <c r="H7" s="227"/>
      <c r="I7" s="248"/>
    </row>
    <row r="8" spans="1:9" ht="12.75">
      <c r="A8" s="226" t="s">
        <v>231</v>
      </c>
      <c r="B8" s="252">
        <f>B6+B7</f>
        <v>-4172.230882936959</v>
      </c>
      <c r="C8" s="252">
        <f>C6+C7</f>
        <v>-9.657941858650368</v>
      </c>
      <c r="D8" s="254">
        <f>D6+D7</f>
        <v>-2.8902618470089374</v>
      </c>
      <c r="E8" s="227" t="str">
        <f>IF(AND(B8&lt;Capital!$J$40,B8&gt;=0),"El capital se remunera a tasas inferiores a las establecidas",IF(B8&lt;0,"Descapitalización a largo plazo",""))</f>
        <v>Descapitalización a largo plazo</v>
      </c>
      <c r="F8" s="227"/>
      <c r="G8" s="227"/>
      <c r="H8" s="252"/>
      <c r="I8" s="248"/>
    </row>
    <row r="9" spans="1:9" ht="12.75">
      <c r="A9" s="226" t="s">
        <v>232</v>
      </c>
      <c r="B9" s="276">
        <f>Capital!$I$40</f>
        <v>2886.131596666667</v>
      </c>
      <c r="C9" s="254">
        <f>B9/Cria!$E$81/Cria!$I$2</f>
        <v>6.680860177469136</v>
      </c>
      <c r="D9" s="276">
        <f>B9/Datos!$D$9</f>
        <v>1.9993323172519872</v>
      </c>
      <c r="E9" s="227"/>
      <c r="F9" s="227"/>
      <c r="G9" s="227"/>
      <c r="H9" s="227"/>
      <c r="I9" s="248"/>
    </row>
    <row r="10" spans="1:9" ht="13.5" thickBot="1">
      <c r="A10" s="226" t="s">
        <v>233</v>
      </c>
      <c r="B10" s="277">
        <f>B8+B9</f>
        <v>-1286.0992862702915</v>
      </c>
      <c r="C10" s="277">
        <f>C8+C9</f>
        <v>-2.9770816811812315</v>
      </c>
      <c r="D10" s="277">
        <f>D8+D9</f>
        <v>-0.8909295297569502</v>
      </c>
      <c r="E10" s="227" t="str">
        <f>IF(AND(B10&lt;B9,B10&gt;0),"No puede afrontar las amortizaciones",IF(B10&lt;0,"No se pueden afrontar todos los gastos",""))</f>
        <v>No se pueden afrontar todos los gastos</v>
      </c>
      <c r="F10" s="227"/>
      <c r="G10" s="227"/>
      <c r="H10" s="252"/>
      <c r="I10" s="248"/>
    </row>
    <row r="11" spans="1:9" ht="13.5" thickTop="1">
      <c r="A11" s="226"/>
      <c r="B11" s="227"/>
      <c r="C11" s="227"/>
      <c r="D11" s="227"/>
      <c r="E11" s="227"/>
      <c r="F11" s="227"/>
      <c r="G11" s="227"/>
      <c r="H11" s="227"/>
      <c r="I11" s="248"/>
    </row>
    <row r="12" spans="1:9" ht="12.75">
      <c r="A12" s="226" t="s">
        <v>255</v>
      </c>
      <c r="B12" s="254">
        <f>Datos!D9*Datos!$D$41/8</f>
        <v>3247.9823571428574</v>
      </c>
      <c r="C12" s="254">
        <f>B12/Cria!$E$81/Cria!$I$2</f>
        <v>7.518477678571429</v>
      </c>
      <c r="D12" s="254">
        <f>B12/Datos!$D$9</f>
        <v>2.25</v>
      </c>
      <c r="E12" s="227" t="str">
        <f>IF(AND(D12&lt;Datos!$D$41/8,D12&gt;0),INT(D12*8/Datos!$D$41*100)&amp;"% de la retribución por hora efectiva",IF(D12&lt;0,"Ingreso negativo!","Mayor que la retribución por hora efectiva"))</f>
        <v>Mayor que la retribución por hora efectiva</v>
      </c>
      <c r="F12" s="227"/>
      <c r="G12" s="227"/>
      <c r="H12" s="227"/>
      <c r="I12" s="248"/>
    </row>
    <row r="13" spans="1:9" ht="12.75">
      <c r="A13" s="226" t="s">
        <v>520</v>
      </c>
      <c r="B13" s="19">
        <v>0</v>
      </c>
      <c r="C13" s="276">
        <f>B13/Cria!$E$81/Cria!$I$2</f>
        <v>0</v>
      </c>
      <c r="D13" s="276">
        <f>B13/Datos!$D$9</f>
        <v>0</v>
      </c>
      <c r="E13" s="227" t="str">
        <f>INT(B13/B12*100)&amp;" % del total del trabajo"</f>
        <v>0 % del total del trabajo</v>
      </c>
      <c r="F13" s="227"/>
      <c r="G13" s="227"/>
      <c r="H13" s="227"/>
      <c r="I13" s="248"/>
    </row>
    <row r="14" spans="1:9" ht="12.75">
      <c r="A14" s="226" t="s">
        <v>519</v>
      </c>
      <c r="B14" s="254">
        <f>B12-B13</f>
        <v>3247.9823571428574</v>
      </c>
      <c r="C14" s="254">
        <f>B14/Cria!$E$81/Cria!$I$2</f>
        <v>7.518477678571429</v>
      </c>
      <c r="D14" s="254">
        <f>B14/Datos!$D$9</f>
        <v>2.25</v>
      </c>
      <c r="E14" s="227"/>
      <c r="F14" s="227"/>
      <c r="G14" s="227"/>
      <c r="H14" s="227"/>
      <c r="I14" s="248"/>
    </row>
    <row r="15" spans="1:9" ht="13.5" thickBot="1">
      <c r="A15" s="226" t="s">
        <v>234</v>
      </c>
      <c r="B15" s="278">
        <f>B8+B14</f>
        <v>-924.2485257941012</v>
      </c>
      <c r="C15" s="254">
        <f>B15/Cria!$E$81/Cria!$I$2</f>
        <v>-2.139464180078938</v>
      </c>
      <c r="D15" s="254">
        <f>B15/Datos!$D$9</f>
        <v>-0.6402618470089373</v>
      </c>
      <c r="E15" s="227" t="str">
        <f>IF(AND(D15&lt;Datos!$D$41/8,D15&gt;0),INT(D15*8/Datos!$D$41*100)&amp;"% de la retribución por hora efectiva",IF(D15&lt;0,"Ingreso negativo!","Mayor que la retribución por hora efectiva"))</f>
        <v>Ingreso negativo!</v>
      </c>
      <c r="F15" s="227"/>
      <c r="G15" s="227"/>
      <c r="H15" s="227"/>
      <c r="I15" s="248"/>
    </row>
    <row r="16" spans="1:9" ht="13.5" thickTop="1">
      <c r="A16" s="226"/>
      <c r="B16" s="227"/>
      <c r="C16" s="227"/>
      <c r="D16" s="227"/>
      <c r="E16" s="227"/>
      <c r="F16" s="227"/>
      <c r="G16" s="227"/>
      <c r="H16" s="227"/>
      <c r="I16" s="248"/>
    </row>
    <row r="17" spans="1:9" ht="12.75">
      <c r="A17" s="231" t="s">
        <v>235</v>
      </c>
      <c r="B17" s="279">
        <f>B8/Capital!$G$40</f>
        <v>-0.080151713015968</v>
      </c>
      <c r="C17" s="279"/>
      <c r="D17" s="233"/>
      <c r="E17" s="233"/>
      <c r="F17" s="233"/>
      <c r="G17" s="233"/>
      <c r="H17" s="233"/>
      <c r="I17" s="235"/>
    </row>
    <row r="18" spans="2:9" ht="12.75">
      <c r="B18" s="379" t="s">
        <v>547</v>
      </c>
      <c r="C18" s="380">
        <f>Datos!$K$62</f>
        <v>39052</v>
      </c>
      <c r="D18" s="220"/>
      <c r="F18" s="369" t="s">
        <v>548</v>
      </c>
      <c r="G18" s="370">
        <f>Capital!$M$41</f>
        <v>39052</v>
      </c>
      <c r="H18" s="220"/>
      <c r="I18" s="220"/>
    </row>
    <row r="19" spans="1:9" ht="12.75">
      <c r="A19" s="220"/>
      <c r="B19" s="220"/>
      <c r="C19" s="220"/>
      <c r="D19" s="220"/>
      <c r="E19" s="220"/>
      <c r="F19" s="220"/>
      <c r="G19" s="220"/>
      <c r="H19" s="220"/>
      <c r="I19" s="220"/>
    </row>
    <row r="20" spans="1:9" ht="12.75">
      <c r="A20" s="220"/>
      <c r="B20" s="220"/>
      <c r="C20" s="220"/>
      <c r="D20" s="220"/>
      <c r="E20" s="220"/>
      <c r="F20" s="220"/>
      <c r="G20" s="220"/>
      <c r="H20" s="220"/>
      <c r="I20" s="220"/>
    </row>
    <row r="21" spans="1:9" ht="12.75">
      <c r="A21" s="219" t="s">
        <v>505</v>
      </c>
      <c r="B21" s="220"/>
      <c r="C21" s="220"/>
      <c r="D21" s="220"/>
      <c r="E21" s="220"/>
      <c r="H21" s="369" t="s">
        <v>538</v>
      </c>
      <c r="I21" s="370">
        <f ca="1">TODAY()</f>
        <v>39069</v>
      </c>
    </row>
    <row r="22" spans="1:9" ht="12.75">
      <c r="A22" s="273"/>
      <c r="B22" s="274" t="s">
        <v>512</v>
      </c>
      <c r="C22" s="274" t="s">
        <v>506</v>
      </c>
      <c r="D22" s="274" t="s">
        <v>504</v>
      </c>
      <c r="E22" s="223" t="s">
        <v>230</v>
      </c>
      <c r="F22" s="223"/>
      <c r="G22" s="274"/>
      <c r="H22" s="223"/>
      <c r="I22" s="246"/>
    </row>
    <row r="23" spans="1:9" ht="12.75">
      <c r="A23" s="231"/>
      <c r="B23" s="275" t="s">
        <v>228</v>
      </c>
      <c r="C23" s="275" t="s">
        <v>507</v>
      </c>
      <c r="D23" s="275" t="s">
        <v>229</v>
      </c>
      <c r="E23" s="233"/>
      <c r="F23" s="233"/>
      <c r="G23" s="233"/>
      <c r="H23" s="233"/>
      <c r="I23" s="235"/>
    </row>
    <row r="24" spans="1:9" ht="12.75">
      <c r="A24" s="226" t="s">
        <v>225</v>
      </c>
      <c r="B24" s="254">
        <f>Procesado!$I$66</f>
        <v>16108.848</v>
      </c>
      <c r="C24" s="254">
        <f>B24/Procesado!$F$66</f>
        <v>85.232</v>
      </c>
      <c r="D24" s="280">
        <f>B24/Datos!$J$9</f>
        <v>20.707652102899143</v>
      </c>
      <c r="E24" s="227"/>
      <c r="F24" s="227"/>
      <c r="G24" s="227"/>
      <c r="H24" s="227"/>
      <c r="I24" s="248"/>
    </row>
    <row r="25" spans="1:9" ht="12.75">
      <c r="A25" s="226" t="s">
        <v>226</v>
      </c>
      <c r="B25" s="276">
        <f>Procesado!$I$58</f>
        <v>11130.842894713585</v>
      </c>
      <c r="C25" s="276">
        <f>B25/Procesado!$F$66</f>
        <v>58.89334864927823</v>
      </c>
      <c r="D25" s="281">
        <f>B25/Datos!$J$9</f>
        <v>14.308510594659268</v>
      </c>
      <c r="E25" s="227"/>
      <c r="F25" s="227"/>
      <c r="G25" s="227"/>
      <c r="H25" s="227"/>
      <c r="I25" s="248"/>
    </row>
    <row r="26" spans="1:9" ht="12.75">
      <c r="A26" s="226" t="s">
        <v>227</v>
      </c>
      <c r="B26" s="254">
        <f>B24-B25</f>
        <v>4978.005105286415</v>
      </c>
      <c r="C26" s="254">
        <f>C24-C25</f>
        <v>26.33865135072177</v>
      </c>
      <c r="D26" s="254">
        <f>D24-D25</f>
        <v>6.399141508239875</v>
      </c>
      <c r="E26" s="227">
        <f>IF(B26&lt;=0,"No se remunera el riesgo empresario","")</f>
      </c>
      <c r="F26" s="227"/>
      <c r="G26" s="227"/>
      <c r="H26" s="227"/>
      <c r="I26" s="248"/>
    </row>
    <row r="27" spans="1:9" ht="12.75">
      <c r="A27" s="226" t="s">
        <v>511</v>
      </c>
      <c r="B27" s="276">
        <f>Capital!$J$62</f>
        <v>96.20000000000002</v>
      </c>
      <c r="C27" s="276">
        <f>B27/Procesado!$F$66</f>
        <v>0.5089947089947091</v>
      </c>
      <c r="D27" s="276">
        <f>B27/Datos!$J$9</f>
        <v>0.12366347564387584</v>
      </c>
      <c r="E27" s="227"/>
      <c r="F27" s="227"/>
      <c r="G27" s="227"/>
      <c r="H27" s="227"/>
      <c r="I27" s="248"/>
    </row>
    <row r="28" spans="1:9" ht="12.75">
      <c r="A28" s="226" t="s">
        <v>231</v>
      </c>
      <c r="B28" s="252">
        <f>B26+B27</f>
        <v>5074.205105286414</v>
      </c>
      <c r="C28" s="252">
        <f>C26+C27</f>
        <v>26.847646059716478</v>
      </c>
      <c r="D28" s="252">
        <f>D26+D27</f>
        <v>6.522804983883751</v>
      </c>
      <c r="E28" s="227">
        <f>IF(AND(B28&lt;Capital!$J$62,B28&gt;=0),"El capital se remunera a tasas inferiores a las establecidas",IF(B28&lt;0,"Descapitalización a largo plazo",""))</f>
      </c>
      <c r="F28" s="227"/>
      <c r="G28" s="227"/>
      <c r="H28" s="252"/>
      <c r="I28" s="248"/>
    </row>
    <row r="29" spans="1:9" ht="12.75">
      <c r="A29" s="226" t="s">
        <v>232</v>
      </c>
      <c r="B29" s="276">
        <f>Capital!$I$62</f>
        <v>166.66666666666669</v>
      </c>
      <c r="C29" s="276">
        <f>B29/Procesado!$F$66</f>
        <v>0.8818342151675486</v>
      </c>
      <c r="D29" s="276">
        <f>B29/Datos!$J$9</f>
        <v>0.21424718580020066</v>
      </c>
      <c r="E29" s="227"/>
      <c r="F29" s="227"/>
      <c r="G29" s="227"/>
      <c r="H29" s="227"/>
      <c r="I29" s="248"/>
    </row>
    <row r="30" spans="1:9" ht="13.5" thickBot="1">
      <c r="A30" s="226" t="s">
        <v>233</v>
      </c>
      <c r="B30" s="277">
        <f>B28+B29</f>
        <v>5240.871771953081</v>
      </c>
      <c r="C30" s="277">
        <f>C28+C29</f>
        <v>27.729480274884025</v>
      </c>
      <c r="D30" s="277">
        <f>D28+D29</f>
        <v>6.737052169683952</v>
      </c>
      <c r="E30" s="227">
        <f>IF(AND(B30&lt;B29,B30&gt;0),"No puede afrontar las amortizaciones",IF(B30&lt;0,"No se pueden afrontar todos los gastos",""))</f>
      </c>
      <c r="F30" s="227"/>
      <c r="G30" s="227"/>
      <c r="H30" s="252"/>
      <c r="I30" s="248"/>
    </row>
    <row r="31" spans="1:9" ht="13.5" thickTop="1">
      <c r="A31" s="226"/>
      <c r="B31" s="227"/>
      <c r="C31" s="227"/>
      <c r="D31" s="227"/>
      <c r="E31" s="227"/>
      <c r="F31" s="227"/>
      <c r="G31" s="227"/>
      <c r="H31" s="227"/>
      <c r="I31" s="248"/>
    </row>
    <row r="32" spans="1:9" ht="12.75">
      <c r="A32" s="226" t="s">
        <v>255</v>
      </c>
      <c r="B32" s="254">
        <f>Datos!J9*Datos!$D$41/8</f>
        <v>1750.3147058823529</v>
      </c>
      <c r="C32" s="254">
        <f>B32/Procesado!$F$66</f>
        <v>9.2609243697479</v>
      </c>
      <c r="D32" s="254">
        <f>B32/Datos!$J$9</f>
        <v>2.25</v>
      </c>
      <c r="E32" s="227" t="str">
        <f>IF(AND(D32&lt;Datos!$D$41/8,D32&gt;0),INT(D32*8/Datos!$D$41*100)&amp;"% de la retribución por hora efectiva",IF(D32&lt;0,"Ingreso negativo!","Mayor que la retribución por hora efectiva"))</f>
        <v>Mayor que la retribución por hora efectiva</v>
      </c>
      <c r="F32" s="227"/>
      <c r="G32" s="227"/>
      <c r="H32" s="227"/>
      <c r="I32" s="248"/>
    </row>
    <row r="33" spans="1:9" ht="12.75">
      <c r="A33" s="226" t="s">
        <v>520</v>
      </c>
      <c r="B33" s="19">
        <v>0</v>
      </c>
      <c r="C33" s="276">
        <f>B33/Cria!$E$81/Cria!$I$2</f>
        <v>0</v>
      </c>
      <c r="D33" s="276">
        <f>B33/Datos!$D$9</f>
        <v>0</v>
      </c>
      <c r="E33" s="227" t="str">
        <f>INT(B33/B32*100)&amp;" % del total del trabajo"</f>
        <v>0 % del total del trabajo</v>
      </c>
      <c r="F33" s="227"/>
      <c r="G33" s="227"/>
      <c r="H33" s="227"/>
      <c r="I33" s="248"/>
    </row>
    <row r="34" spans="1:9" ht="12.75">
      <c r="A34" s="226" t="s">
        <v>519</v>
      </c>
      <c r="B34" s="254">
        <f>B32-B33</f>
        <v>1750.3147058823529</v>
      </c>
      <c r="C34" s="254">
        <f>B34/Cria!$E$81/Cria!$I$2</f>
        <v>4.051654411764706</v>
      </c>
      <c r="D34" s="254">
        <f>B34/Datos!$D$9</f>
        <v>1.2125090764654292</v>
      </c>
      <c r="E34" s="227"/>
      <c r="F34" s="227"/>
      <c r="G34" s="227"/>
      <c r="H34" s="227"/>
      <c r="I34" s="248"/>
    </row>
    <row r="35" spans="1:9" ht="13.5" thickBot="1">
      <c r="A35" s="226" t="s">
        <v>234</v>
      </c>
      <c r="B35" s="278">
        <f>B28+B34</f>
        <v>6824.519811168768</v>
      </c>
      <c r="C35" s="254">
        <f>B35/Cria!$E$81/Cria!$I$2</f>
        <v>15.797499562890666</v>
      </c>
      <c r="D35" s="254">
        <f>B35/Datos!$D$9</f>
        <v>4.727602519564535</v>
      </c>
      <c r="E35" s="227" t="str">
        <f>IF(AND(D35&lt;Datos!$D$41/8,D35&gt;0),INT(D35*8/Datos!$D$41*100)&amp;"% de la retribución por hora efectiva",IF(D35&lt;0,"Ingreso negativo!","Mayor que la retribución por hora efectiva"))</f>
        <v>Mayor que la retribución por hora efectiva</v>
      </c>
      <c r="F35" s="227"/>
      <c r="G35" s="227"/>
      <c r="H35" s="227"/>
      <c r="I35" s="248"/>
    </row>
    <row r="36" spans="1:9" ht="13.5" thickTop="1">
      <c r="A36" s="226"/>
      <c r="B36" s="227"/>
      <c r="C36" s="227"/>
      <c r="D36" s="227"/>
      <c r="E36" s="227"/>
      <c r="F36" s="227"/>
      <c r="G36" s="227"/>
      <c r="H36" s="227"/>
      <c r="I36" s="248"/>
    </row>
    <row r="37" spans="1:9" ht="12.75">
      <c r="A37" s="231" t="s">
        <v>235</v>
      </c>
      <c r="B37" s="279">
        <f>B28/Capital!$G$62</f>
        <v>3.4934286439149154</v>
      </c>
      <c r="C37" s="279"/>
      <c r="D37" s="233"/>
      <c r="E37" s="233"/>
      <c r="F37" s="233"/>
      <c r="G37" s="233"/>
      <c r="H37" s="233"/>
      <c r="I37" s="235"/>
    </row>
    <row r="38" spans="1:9" ht="12.75">
      <c r="A38" s="220"/>
      <c r="B38" s="379" t="s">
        <v>547</v>
      </c>
      <c r="C38" s="380">
        <f>Datos!$K$62</f>
        <v>39052</v>
      </c>
      <c r="D38" s="220"/>
      <c r="F38" s="369" t="s">
        <v>548</v>
      </c>
      <c r="G38" s="370">
        <f>Capital!$M$63</f>
        <v>39052</v>
      </c>
      <c r="H38" s="220"/>
      <c r="I38" s="220"/>
    </row>
    <row r="39" spans="1:10" ht="12.75">
      <c r="A39" s="227"/>
      <c r="B39" s="227"/>
      <c r="C39" s="227"/>
      <c r="D39" s="227"/>
      <c r="E39" s="227"/>
      <c r="F39" s="227"/>
      <c r="G39" s="227"/>
      <c r="H39" s="227"/>
      <c r="I39" s="227"/>
      <c r="J39" s="6"/>
    </row>
    <row r="40" spans="1:10" ht="12.75">
      <c r="A40" s="227"/>
      <c r="B40" s="227"/>
      <c r="C40" s="227"/>
      <c r="D40" s="227"/>
      <c r="E40" s="227"/>
      <c r="F40" s="227"/>
      <c r="G40" s="227"/>
      <c r="H40" s="227"/>
      <c r="I40" s="227"/>
      <c r="J40" s="6"/>
    </row>
    <row r="41" spans="1:9" ht="12.75">
      <c r="A41" s="227"/>
      <c r="B41" s="220"/>
      <c r="C41" s="220"/>
      <c r="D41" s="220"/>
      <c r="E41" s="220"/>
      <c r="F41" s="220"/>
      <c r="G41" s="220"/>
      <c r="H41" s="220"/>
      <c r="I41" s="220"/>
    </row>
    <row r="42" spans="1:9" ht="12.75">
      <c r="A42" s="219" t="s">
        <v>508</v>
      </c>
      <c r="B42" s="220"/>
      <c r="C42" s="220"/>
      <c r="D42" s="220"/>
      <c r="E42" s="220"/>
      <c r="F42" s="220"/>
      <c r="G42" s="220"/>
      <c r="H42" s="220"/>
      <c r="I42" s="220"/>
    </row>
    <row r="43" spans="1:9" ht="12.75">
      <c r="A43" s="273"/>
      <c r="B43" s="274" t="s">
        <v>512</v>
      </c>
      <c r="C43" s="274" t="s">
        <v>405</v>
      </c>
      <c r="D43" s="274" t="s">
        <v>504</v>
      </c>
      <c r="E43" s="223" t="s">
        <v>230</v>
      </c>
      <c r="F43" s="223"/>
      <c r="G43" s="95"/>
      <c r="H43" s="274" t="s">
        <v>538</v>
      </c>
      <c r="I43" s="374">
        <f ca="1">TODAY()</f>
        <v>39069</v>
      </c>
    </row>
    <row r="44" spans="1:9" ht="12.75">
      <c r="A44" s="231"/>
      <c r="B44" s="275" t="s">
        <v>228</v>
      </c>
      <c r="C44" s="275" t="s">
        <v>507</v>
      </c>
      <c r="D44" s="275" t="s">
        <v>229</v>
      </c>
      <c r="E44" s="233"/>
      <c r="F44" s="233"/>
      <c r="G44" s="233"/>
      <c r="H44" s="233"/>
      <c r="I44" s="235"/>
    </row>
    <row r="45" spans="1:9" ht="12.75">
      <c r="A45" s="226" t="s">
        <v>225</v>
      </c>
      <c r="B45" s="254">
        <f>B4+B24</f>
        <v>23965.847999999998</v>
      </c>
      <c r="C45" s="254">
        <f>B45/Procesado!$F$66</f>
        <v>126.80342857142855</v>
      </c>
      <c r="D45" s="254">
        <f>B45/(Datos!$D$9+Datos!$J$9)</f>
        <v>10.788305961023273</v>
      </c>
      <c r="E45" s="227"/>
      <c r="F45" s="227"/>
      <c r="G45" s="227"/>
      <c r="H45" s="227"/>
      <c r="I45" s="248"/>
    </row>
    <row r="46" spans="1:9" ht="12.75">
      <c r="A46" s="226" t="s">
        <v>226</v>
      </c>
      <c r="B46" s="276">
        <f>B5+B25</f>
        <v>26208.004790445062</v>
      </c>
      <c r="C46" s="276">
        <f>B46/Procesado!$F$66</f>
        <v>138.66669201293683</v>
      </c>
      <c r="D46" s="276">
        <f>B46/(Datos!$D$9+Datos!$J$9)</f>
        <v>11.79762027645694</v>
      </c>
      <c r="E46" s="227"/>
      <c r="F46" s="227"/>
      <c r="G46" s="227"/>
      <c r="H46" s="227"/>
      <c r="I46" s="248"/>
    </row>
    <row r="47" spans="1:9" ht="12.75">
      <c r="A47" s="226" t="s">
        <v>227</v>
      </c>
      <c r="B47" s="254">
        <f>B45-B46</f>
        <v>-2242.156790445064</v>
      </c>
      <c r="C47" s="254">
        <f>C45-C46</f>
        <v>-11.86326344150828</v>
      </c>
      <c r="D47" s="254">
        <f>D45-D46</f>
        <v>-1.0093143154336666</v>
      </c>
      <c r="E47" s="227" t="str">
        <f>IF(B47&lt;=0,"No se remunera el riesgo empresario","")</f>
        <v>No se remunera el riesgo empresario</v>
      </c>
      <c r="F47" s="227"/>
      <c r="G47" s="227"/>
      <c r="H47" s="227"/>
      <c r="I47" s="248"/>
    </row>
    <row r="48" spans="1:9" ht="12.75">
      <c r="A48" s="226" t="s">
        <v>511</v>
      </c>
      <c r="B48" s="276">
        <f>B7+B27</f>
        <v>3144.13101279452</v>
      </c>
      <c r="C48" s="276">
        <f>B48/Procesado!$F$66</f>
        <v>16.63561382430963</v>
      </c>
      <c r="D48" s="276">
        <f>B48/(Datos!$D$9+Datos!$J$9)</f>
        <v>1.4153410030627442</v>
      </c>
      <c r="E48" s="227"/>
      <c r="F48" s="227"/>
      <c r="G48" s="227"/>
      <c r="H48" s="227"/>
      <c r="I48" s="248"/>
    </row>
    <row r="49" spans="1:9" ht="12.75">
      <c r="A49" s="226" t="s">
        <v>231</v>
      </c>
      <c r="B49" s="252">
        <f>B47+B48</f>
        <v>901.9742223494559</v>
      </c>
      <c r="C49" s="252">
        <f>C47+C48</f>
        <v>4.772350382801349</v>
      </c>
      <c r="D49" s="254">
        <f>D47+D48</f>
        <v>0.4060266876290777</v>
      </c>
      <c r="E49" s="227" t="str">
        <f>IF(AND(B49&lt;(Capital!$J$40+Capital!$J$62),B49&gt;=0),"El capital se remunera a tasas inferiores a las establecidas",IF(B49&lt;0,"Descapitalización a largo plazo",""))</f>
        <v>El capital se remunera a tasas inferiores a las establecidas</v>
      </c>
      <c r="F49" s="227"/>
      <c r="G49" s="227"/>
      <c r="H49" s="252"/>
      <c r="I49" s="248"/>
    </row>
    <row r="50" spans="1:9" ht="12.75">
      <c r="A50" s="226" t="s">
        <v>232</v>
      </c>
      <c r="B50" s="276">
        <f>B9+B29</f>
        <v>3052.7982633333336</v>
      </c>
      <c r="C50" s="276">
        <f>B50/Procesado!$F$66</f>
        <v>16.15237176366843</v>
      </c>
      <c r="D50" s="254">
        <f>B50/(Datos!$D$9+Datos!$J$9)</f>
        <v>1.37422726298358</v>
      </c>
      <c r="E50" s="227"/>
      <c r="F50" s="227"/>
      <c r="G50" s="227"/>
      <c r="H50" s="227"/>
      <c r="I50" s="248"/>
    </row>
    <row r="51" spans="1:9" ht="13.5" thickBot="1">
      <c r="A51" s="226" t="s">
        <v>233</v>
      </c>
      <c r="B51" s="277">
        <f>B49+B50</f>
        <v>3954.7724856827895</v>
      </c>
      <c r="C51" s="277">
        <f>C49+C50</f>
        <v>20.92472214646978</v>
      </c>
      <c r="D51" s="277">
        <f>D49+D50</f>
        <v>1.7802539506126576</v>
      </c>
      <c r="E51" s="227">
        <f>IF(AND(B51&lt;B50,B51&gt;0),"No puede afrontar las amortizaciones",IF(B51&lt;0,"No se pueden afrontar todos los gastos",""))</f>
      </c>
      <c r="F51" s="227"/>
      <c r="G51" s="227"/>
      <c r="H51" s="252"/>
      <c r="I51" s="248"/>
    </row>
    <row r="52" spans="1:9" ht="13.5" thickTop="1">
      <c r="A52" s="226"/>
      <c r="B52" s="227"/>
      <c r="C52" s="227"/>
      <c r="D52" s="227"/>
      <c r="E52" s="227"/>
      <c r="F52" s="227"/>
      <c r="G52" s="227"/>
      <c r="H52" s="227"/>
      <c r="I52" s="248"/>
    </row>
    <row r="53" spans="1:9" ht="12.75">
      <c r="A53" s="226" t="s">
        <v>255</v>
      </c>
      <c r="B53" s="254">
        <f>B12+B32</f>
        <v>4998.29706302521</v>
      </c>
      <c r="C53" s="254">
        <f>B53/Procesado!$F$66</f>
        <v>26.446016206482593</v>
      </c>
      <c r="D53" s="254">
        <f>B53/(Datos!$D$9+Datos!$J$9)</f>
        <v>2.25</v>
      </c>
      <c r="E53" s="227" t="str">
        <f>IF(AND(D53&lt;Datos!$D$41/8,D53&gt;0),INT(D53*8/Datos!$D$41*100)&amp;"% de la retribución por hora efectiva",IF(D53&lt;0,"Ingreso negativo!","Mayor que la retribución por hora efectiva"))</f>
        <v>Mayor que la retribución por hora efectiva</v>
      </c>
      <c r="F53" s="227"/>
      <c r="G53" s="227"/>
      <c r="H53" s="227"/>
      <c r="I53" s="248"/>
    </row>
    <row r="54" spans="1:9" ht="12.75">
      <c r="A54" s="226" t="s">
        <v>520</v>
      </c>
      <c r="B54" s="19">
        <v>0</v>
      </c>
      <c r="C54" s="276">
        <f>B54/Cria!$E$81/Cria!$I$2</f>
        <v>0</v>
      </c>
      <c r="D54" s="276">
        <f>B54/Datos!$D$9</f>
        <v>0</v>
      </c>
      <c r="E54" s="227" t="str">
        <f>INT(B54/B53*100)&amp;" % del total del trabajo"</f>
        <v>0 % del total del trabajo</v>
      </c>
      <c r="F54" s="227"/>
      <c r="G54" s="227"/>
      <c r="H54" s="227"/>
      <c r="I54" s="248"/>
    </row>
    <row r="55" spans="1:9" ht="12.75">
      <c r="A55" s="226" t="s">
        <v>519</v>
      </c>
      <c r="B55" s="254">
        <f>B53-B54</f>
        <v>4998.29706302521</v>
      </c>
      <c r="C55" s="254">
        <f>B55/Cria!$E$81/Cria!$I$2</f>
        <v>11.570132090336136</v>
      </c>
      <c r="D55" s="254">
        <f>B55/Datos!$D$9</f>
        <v>3.4625090764654294</v>
      </c>
      <c r="E55" s="227"/>
      <c r="F55" s="227"/>
      <c r="G55" s="227"/>
      <c r="H55" s="227"/>
      <c r="I55" s="248"/>
    </row>
    <row r="56" spans="1:9" ht="13.5" thickBot="1">
      <c r="A56" s="226" t="s">
        <v>234</v>
      </c>
      <c r="B56" s="278">
        <f>B49+B55</f>
        <v>5900.271285374666</v>
      </c>
      <c r="C56" s="254">
        <f>B56/Cria!$E$81/Cria!$I$2</f>
        <v>13.658035382811727</v>
      </c>
      <c r="D56" s="254">
        <f>B56/Datos!$D$9</f>
        <v>4.087340672555596</v>
      </c>
      <c r="E56" s="227" t="str">
        <f>IF(AND(D56&lt;Datos!$D$41/8,D56&gt;0),INT(D56*8/Datos!$D$41*100)&amp;"% de la retribución por hora efectiva",IF(D56&lt;0,"Ingreso negativo!","Mayor que la retribución por hora efectiva"))</f>
        <v>Mayor que la retribución por hora efectiva</v>
      </c>
      <c r="F56" s="227"/>
      <c r="G56" s="227"/>
      <c r="H56" s="227"/>
      <c r="I56" s="248"/>
    </row>
    <row r="57" spans="1:9" ht="13.5" thickTop="1">
      <c r="A57" s="226"/>
      <c r="B57" s="227"/>
      <c r="C57" s="227"/>
      <c r="D57" s="227"/>
      <c r="E57" s="227"/>
      <c r="F57" s="227"/>
      <c r="G57" s="227"/>
      <c r="H57" s="227"/>
      <c r="I57" s="248"/>
    </row>
    <row r="58" spans="1:9" ht="12.75">
      <c r="A58" s="231" t="s">
        <v>235</v>
      </c>
      <c r="B58" s="279">
        <f>B49/(Capital!$G$40+Capital!$G$62)</f>
        <v>0.016857229667117734</v>
      </c>
      <c r="C58" s="279"/>
      <c r="D58" s="233"/>
      <c r="E58" s="233"/>
      <c r="F58" s="233"/>
      <c r="G58" s="233"/>
      <c r="H58" s="233"/>
      <c r="I58" s="235"/>
    </row>
    <row r="59" spans="1:9" ht="12.75">
      <c r="A59" s="220"/>
      <c r="B59" s="379" t="s">
        <v>547</v>
      </c>
      <c r="C59" s="380">
        <f>Datos!$K$62</f>
        <v>39052</v>
      </c>
      <c r="D59" s="220"/>
      <c r="E59" s="220"/>
      <c r="F59" s="220"/>
      <c r="G59" s="220"/>
      <c r="H59" s="220"/>
      <c r="I59" s="220"/>
    </row>
    <row r="60" spans="1:9" ht="12.75">
      <c r="A60" s="220"/>
      <c r="B60" s="220"/>
      <c r="C60" s="220"/>
      <c r="D60" s="220"/>
      <c r="E60" s="220"/>
      <c r="F60" s="220"/>
      <c r="G60" s="220"/>
      <c r="H60" s="220"/>
      <c r="I60" s="220"/>
    </row>
    <row r="61" spans="1:9" ht="12.75">
      <c r="A61" s="219" t="s">
        <v>509</v>
      </c>
      <c r="B61" s="220"/>
      <c r="C61" s="220"/>
      <c r="D61" s="220"/>
      <c r="E61" s="220"/>
      <c r="H61" s="369" t="s">
        <v>538</v>
      </c>
      <c r="I61" s="370">
        <f ca="1">TODAY()</f>
        <v>39069</v>
      </c>
    </row>
    <row r="62" spans="1:9" ht="12.75">
      <c r="A62" s="176" t="s">
        <v>435</v>
      </c>
      <c r="B62" s="218">
        <v>100</v>
      </c>
      <c r="C62" s="267" t="s">
        <v>510</v>
      </c>
      <c r="D62" s="267"/>
      <c r="E62" s="267" t="str">
        <f>"("&amp;INT(B62/Procesado!$H$63*100)&amp;" % del dato original)"</f>
        <v>(111 % del dato original)</v>
      </c>
      <c r="F62" s="267"/>
      <c r="G62" s="267"/>
      <c r="H62" s="267"/>
      <c r="I62" s="282"/>
    </row>
    <row r="63" spans="1:9" ht="12.75">
      <c r="A63" s="273"/>
      <c r="B63" s="274" t="s">
        <v>512</v>
      </c>
      <c r="C63" s="274" t="s">
        <v>405</v>
      </c>
      <c r="D63" s="274" t="s">
        <v>504</v>
      </c>
      <c r="E63" s="223" t="s">
        <v>230</v>
      </c>
      <c r="F63" s="223"/>
      <c r="G63" s="274"/>
      <c r="H63" s="223"/>
      <c r="I63" s="246"/>
    </row>
    <row r="64" spans="1:9" ht="12.75">
      <c r="A64" s="231"/>
      <c r="B64" s="275" t="s">
        <v>228</v>
      </c>
      <c r="C64" s="275" t="s">
        <v>507</v>
      </c>
      <c r="D64" s="275" t="s">
        <v>229</v>
      </c>
      <c r="E64" s="233"/>
      <c r="F64" s="233"/>
      <c r="G64" s="233"/>
      <c r="H64" s="233"/>
      <c r="I64" s="235"/>
    </row>
    <row r="65" spans="1:9" ht="12.75">
      <c r="A65" s="226" t="s">
        <v>225</v>
      </c>
      <c r="B65" s="254">
        <f>B62*Procesado!F63+Procesado!I64+Cria!I83</f>
        <v>25405.272</v>
      </c>
      <c r="C65" s="254">
        <f>B65/Procesado!$F$66</f>
        <v>134.41942857142857</v>
      </c>
      <c r="D65" s="254">
        <f>B65/(Datos!$D$9+Datos!$J$9)</f>
        <v>11.43626744853834</v>
      </c>
      <c r="E65" s="227"/>
      <c r="F65" s="227"/>
      <c r="G65" s="227"/>
      <c r="H65" s="227"/>
      <c r="I65" s="248"/>
    </row>
    <row r="66" spans="1:9" ht="12.75">
      <c r="A66" s="226" t="s">
        <v>226</v>
      </c>
      <c r="B66" s="276">
        <f>B46</f>
        <v>26208.004790445062</v>
      </c>
      <c r="C66" s="276">
        <f>B66/Procesado!$F$66</f>
        <v>138.66669201293683</v>
      </c>
      <c r="D66" s="276">
        <f>B66/(Datos!$D$9+Datos!$J$9)</f>
        <v>11.79762027645694</v>
      </c>
      <c r="E66" s="227"/>
      <c r="F66" s="227"/>
      <c r="G66" s="227"/>
      <c r="H66" s="227"/>
      <c r="I66" s="248"/>
    </row>
    <row r="67" spans="1:9" ht="12.75">
      <c r="A67" s="226" t="s">
        <v>227</v>
      </c>
      <c r="B67" s="254">
        <f>B65-B66</f>
        <v>-802.7327904450613</v>
      </c>
      <c r="C67" s="254">
        <f>B67/Procesado!$F$66</f>
        <v>-4.24726344150826</v>
      </c>
      <c r="D67" s="254">
        <f>D65-D66</f>
        <v>-0.3613528279185996</v>
      </c>
      <c r="E67" s="227" t="str">
        <f>IF(B67&lt;=0,"No se remunera el riesgo empresario","")</f>
        <v>No se remunera el riesgo empresario</v>
      </c>
      <c r="F67" s="227"/>
      <c r="G67" s="227"/>
      <c r="H67" s="227"/>
      <c r="I67" s="248"/>
    </row>
    <row r="68" spans="1:9" ht="12.75">
      <c r="A68" s="226" t="s">
        <v>511</v>
      </c>
      <c r="B68" s="276">
        <f>B48</f>
        <v>3144.13101279452</v>
      </c>
      <c r="C68" s="276">
        <f>B68/Procesado!$F$66</f>
        <v>16.63561382430963</v>
      </c>
      <c r="D68" s="276">
        <f>B68/(Datos!$D$9+Datos!$J$9)</f>
        <v>1.4153410030627442</v>
      </c>
      <c r="E68" s="227"/>
      <c r="F68" s="227"/>
      <c r="G68" s="227"/>
      <c r="H68" s="227"/>
      <c r="I68" s="248"/>
    </row>
    <row r="69" spans="1:9" ht="12.75">
      <c r="A69" s="226" t="s">
        <v>231</v>
      </c>
      <c r="B69" s="252">
        <f>B67+B68</f>
        <v>2341.3982223494586</v>
      </c>
      <c r="C69" s="252">
        <f>C67+C68</f>
        <v>12.38835038280137</v>
      </c>
      <c r="D69" s="254">
        <f>D67+D68</f>
        <v>1.0539881751441447</v>
      </c>
      <c r="E69" s="227" t="str">
        <f>IF(AND(B69&lt;(Capital!$J$40+Capital!$J$62),B69&gt;=0),"El capital se remunera a tasas inferiores a las establecidas",IF(B69&lt;0,"Descapitalización a largo plazo",""))</f>
        <v>El capital se remunera a tasas inferiores a las establecidas</v>
      </c>
      <c r="F69" s="227"/>
      <c r="G69" s="227"/>
      <c r="H69" s="227"/>
      <c r="I69" s="248"/>
    </row>
    <row r="70" spans="1:9" ht="12.75">
      <c r="A70" s="226" t="s">
        <v>232</v>
      </c>
      <c r="B70" s="276">
        <f>B50</f>
        <v>3052.7982633333336</v>
      </c>
      <c r="C70" s="254">
        <f>B70/Procesado!$F$66</f>
        <v>16.15237176366843</v>
      </c>
      <c r="D70" s="254">
        <f>B70/(Datos!$D$9+Datos!$J$9)</f>
        <v>1.37422726298358</v>
      </c>
      <c r="E70" s="227"/>
      <c r="F70" s="227"/>
      <c r="G70" s="227"/>
      <c r="H70" s="227"/>
      <c r="I70" s="248"/>
    </row>
    <row r="71" spans="1:9" ht="13.5" thickBot="1">
      <c r="A71" s="226" t="s">
        <v>233</v>
      </c>
      <c r="B71" s="277">
        <f>B69+B70</f>
        <v>5394.196485682793</v>
      </c>
      <c r="C71" s="277">
        <f>C69+C70</f>
        <v>28.5407221464698</v>
      </c>
      <c r="D71" s="277">
        <f>D69+D70</f>
        <v>2.4282154381277246</v>
      </c>
      <c r="E71" s="227">
        <f>IF(AND(B71&lt;B70,B71&gt;0),"No puede afrontar las amortizaciones",IF(B71&lt;0,"No se pueden afrontar todos los gastos",""))</f>
      </c>
      <c r="F71" s="227"/>
      <c r="G71" s="227"/>
      <c r="H71" s="227"/>
      <c r="I71" s="248"/>
    </row>
    <row r="72" spans="1:9" ht="13.5" thickTop="1">
      <c r="A72" s="226"/>
      <c r="B72" s="227"/>
      <c r="C72" s="227"/>
      <c r="D72" s="227"/>
      <c r="E72" s="227"/>
      <c r="F72" s="227"/>
      <c r="G72" s="227"/>
      <c r="H72" s="227"/>
      <c r="I72" s="248"/>
    </row>
    <row r="73" spans="1:9" ht="12.75">
      <c r="A73" s="226" t="s">
        <v>255</v>
      </c>
      <c r="B73" s="254">
        <f>$B$53</f>
        <v>4998.29706302521</v>
      </c>
      <c r="C73" s="254">
        <f>B73/Procesado!$F$66</f>
        <v>26.446016206482593</v>
      </c>
      <c r="D73" s="254">
        <f>B73/(Datos!$D$9+Datos!$J$9)</f>
        <v>2.25</v>
      </c>
      <c r="E73" s="227" t="str">
        <f>IF(AND(D73&lt;Datos!$D$41/8,D73&gt;0),INT(D73*8/Datos!$D$41*100)&amp;"% de la retribución por hora efectiva",IF(D73&lt;0,"Ingreso negativo!","Mayor que la retribución por hora efectiva"))</f>
        <v>Mayor que la retribución por hora efectiva</v>
      </c>
      <c r="F73" s="227"/>
      <c r="G73" s="227"/>
      <c r="H73" s="227"/>
      <c r="I73" s="248"/>
    </row>
    <row r="74" spans="1:9" ht="12.75">
      <c r="A74" s="226" t="s">
        <v>520</v>
      </c>
      <c r="B74" s="19">
        <v>0</v>
      </c>
      <c r="C74" s="276">
        <f>B74/Cria!$E$81/Cria!$I$2</f>
        <v>0</v>
      </c>
      <c r="D74" s="276">
        <f>B74/Datos!$D$9</f>
        <v>0</v>
      </c>
      <c r="E74" s="227" t="str">
        <f>INT(B74/B73*100)&amp;" % del total del trabajo"</f>
        <v>0 % del total del trabajo</v>
      </c>
      <c r="F74" s="227"/>
      <c r="G74" s="227"/>
      <c r="H74" s="227"/>
      <c r="I74" s="248"/>
    </row>
    <row r="75" spans="1:9" ht="12.75">
      <c r="A75" s="226" t="s">
        <v>519</v>
      </c>
      <c r="B75" s="254">
        <f>B73-B74</f>
        <v>4998.29706302521</v>
      </c>
      <c r="C75" s="254">
        <f>B75/Cria!$E$81/Cria!$I$2</f>
        <v>11.570132090336136</v>
      </c>
      <c r="D75" s="254">
        <f>B75/Datos!$D$9</f>
        <v>3.4625090764654294</v>
      </c>
      <c r="E75" s="227"/>
      <c r="F75" s="227"/>
      <c r="G75" s="227"/>
      <c r="H75" s="227"/>
      <c r="I75" s="248"/>
    </row>
    <row r="76" spans="1:9" ht="13.5" thickBot="1">
      <c r="A76" s="226" t="s">
        <v>234</v>
      </c>
      <c r="B76" s="278">
        <f>B69+B75</f>
        <v>7339.695285374669</v>
      </c>
      <c r="C76" s="254">
        <f>B76/Cria!$E$81/Cria!$I$2</f>
        <v>16.990035382811733</v>
      </c>
      <c r="D76" s="254">
        <f>B76/Datos!$D$9</f>
        <v>5.084484019987134</v>
      </c>
      <c r="E76" s="227" t="str">
        <f>IF(AND(D76&lt;Datos!$D$41/8,D76&gt;0),INT(D76*8/Datos!$D$41*100)&amp;"% de la retribución por hora efectiva",IF(D76&lt;0,"Ingreso negativo!","Mayor que la retribución por hora efectiva"))</f>
        <v>Mayor que la retribución por hora efectiva</v>
      </c>
      <c r="F76" s="227"/>
      <c r="G76" s="227"/>
      <c r="H76" s="227"/>
      <c r="I76" s="248"/>
    </row>
    <row r="77" spans="1:9" ht="13.5" thickTop="1">
      <c r="A77" s="226"/>
      <c r="B77" s="227"/>
      <c r="C77" s="227"/>
      <c r="D77" s="227"/>
      <c r="E77" s="227"/>
      <c r="F77" s="227"/>
      <c r="G77" s="227"/>
      <c r="H77" s="227"/>
      <c r="I77" s="248"/>
    </row>
    <row r="78" spans="1:9" ht="12.75">
      <c r="A78" s="231" t="s">
        <v>235</v>
      </c>
      <c r="B78" s="279">
        <f>B69/(Capital!$G$40+Capital!$G$62)</f>
        <v>0.04375899731759095</v>
      </c>
      <c r="C78" s="279"/>
      <c r="D78" s="233"/>
      <c r="E78" s="233"/>
      <c r="F78" s="233"/>
      <c r="G78" s="233"/>
      <c r="H78" s="233"/>
      <c r="I78" s="235"/>
    </row>
    <row r="79" spans="1:9" ht="12.75">
      <c r="A79" s="220"/>
      <c r="B79" s="220"/>
      <c r="C79" s="220"/>
      <c r="D79" s="220"/>
      <c r="E79" s="220"/>
      <c r="F79" s="220"/>
      <c r="G79" s="220"/>
      <c r="H79" s="220"/>
      <c r="I79" s="220"/>
    </row>
    <row r="80" spans="1:9" ht="12.75">
      <c r="A80" s="220"/>
      <c r="B80" s="220"/>
      <c r="C80" s="220"/>
      <c r="D80" s="220"/>
      <c r="E80" s="220"/>
      <c r="F80" s="220"/>
      <c r="G80" s="220"/>
      <c r="H80" s="220"/>
      <c r="I80" s="220"/>
    </row>
    <row r="81" spans="1:9" ht="12.75">
      <c r="A81" s="220"/>
      <c r="B81" s="220"/>
      <c r="C81" s="220"/>
      <c r="D81" s="220"/>
      <c r="E81" s="220"/>
      <c r="F81" s="220"/>
      <c r="G81" s="220"/>
      <c r="H81" s="220"/>
      <c r="I81" s="220"/>
    </row>
  </sheetData>
  <sheetProtection sheet="1" objects="1" scenarios="1"/>
  <conditionalFormatting sqref="D8">
    <cfRule type="cellIs" priority="1" dxfId="2" operator="between" stopIfTrue="1">
      <formula>0</formula>
      <formula>$D$7</formula>
    </cfRule>
    <cfRule type="cellIs" priority="2" dxfId="3" operator="lessThan" stopIfTrue="1">
      <formula>0</formula>
    </cfRule>
  </conditionalFormatting>
  <conditionalFormatting sqref="B8">
    <cfRule type="cellIs" priority="3" dxfId="2" operator="between" stopIfTrue="1">
      <formula>0</formula>
      <formula>$B$7</formula>
    </cfRule>
    <cfRule type="cellIs" priority="4" dxfId="3" operator="lessThan" stopIfTrue="1">
      <formula>0</formula>
    </cfRule>
  </conditionalFormatting>
  <conditionalFormatting sqref="B10:D10 B30:D30 B51:D51 B71:D71">
    <cfRule type="cellIs" priority="5" dxfId="4" operator="lessThan" stopIfTrue="1">
      <formula>0</formula>
    </cfRule>
  </conditionalFormatting>
  <conditionalFormatting sqref="B17:C17 B37:C37 B58:C58 B78:C78">
    <cfRule type="cellIs" priority="6" dxfId="5" operator="lessThan" stopIfTrue="1">
      <formula>0</formula>
    </cfRule>
  </conditionalFormatting>
  <conditionalFormatting sqref="B28">
    <cfRule type="cellIs" priority="7" dxfId="2" operator="between" stopIfTrue="1">
      <formula>0</formula>
      <formula>$B$27</formula>
    </cfRule>
    <cfRule type="cellIs" priority="8" dxfId="3" operator="lessThan" stopIfTrue="1">
      <formula>0</formula>
    </cfRule>
  </conditionalFormatting>
  <conditionalFormatting sqref="C28">
    <cfRule type="cellIs" priority="9" dxfId="2" operator="between" stopIfTrue="1">
      <formula>0</formula>
      <formula>$C$27</formula>
    </cfRule>
    <cfRule type="cellIs" priority="10" dxfId="3" operator="lessThan" stopIfTrue="1">
      <formula>0</formula>
    </cfRule>
  </conditionalFormatting>
  <conditionalFormatting sqref="D28">
    <cfRule type="cellIs" priority="11" dxfId="2" operator="between" stopIfTrue="1">
      <formula>0</formula>
      <formula>$D$27</formula>
    </cfRule>
    <cfRule type="cellIs" priority="12" dxfId="3" operator="lessThan" stopIfTrue="1">
      <formula>0</formula>
    </cfRule>
  </conditionalFormatting>
  <conditionalFormatting sqref="C8">
    <cfRule type="cellIs" priority="13" dxfId="2" operator="between" stopIfTrue="1">
      <formula>0</formula>
      <formula>$C$7</formula>
    </cfRule>
    <cfRule type="cellIs" priority="14" dxfId="3" operator="lessThan" stopIfTrue="1">
      <formula>0</formula>
    </cfRule>
  </conditionalFormatting>
  <conditionalFormatting sqref="B49">
    <cfRule type="cellIs" priority="15" dxfId="2" operator="between" stopIfTrue="1">
      <formula>0</formula>
      <formula>$B$48</formula>
    </cfRule>
    <cfRule type="cellIs" priority="16" dxfId="3" operator="lessThan" stopIfTrue="1">
      <formula>0</formula>
    </cfRule>
  </conditionalFormatting>
  <conditionalFormatting sqref="C49">
    <cfRule type="cellIs" priority="17" dxfId="2" operator="between" stopIfTrue="1">
      <formula>0</formula>
      <formula>$C$48</formula>
    </cfRule>
    <cfRule type="cellIs" priority="18" dxfId="3" operator="lessThan" stopIfTrue="1">
      <formula>0</formula>
    </cfRule>
  </conditionalFormatting>
  <conditionalFormatting sqref="D49">
    <cfRule type="cellIs" priority="19" dxfId="2" operator="between" stopIfTrue="1">
      <formula>0</formula>
      <formula>$D$48</formula>
    </cfRule>
    <cfRule type="cellIs" priority="20" dxfId="3" operator="lessThan" stopIfTrue="1">
      <formula>0</formula>
    </cfRule>
  </conditionalFormatting>
  <conditionalFormatting sqref="B69">
    <cfRule type="cellIs" priority="21" dxfId="2" operator="between" stopIfTrue="1">
      <formula>0</formula>
      <formula>$B$68</formula>
    </cfRule>
    <cfRule type="cellIs" priority="22" dxfId="3" operator="lessThan" stopIfTrue="1">
      <formula>0</formula>
    </cfRule>
  </conditionalFormatting>
  <conditionalFormatting sqref="C69">
    <cfRule type="cellIs" priority="23" dxfId="2" operator="between" stopIfTrue="1">
      <formula>0</formula>
      <formula>$C$68</formula>
    </cfRule>
    <cfRule type="cellIs" priority="24" dxfId="3" operator="lessThan" stopIfTrue="1">
      <formula>0</formula>
    </cfRule>
  </conditionalFormatting>
  <conditionalFormatting sqref="D69">
    <cfRule type="cellIs" priority="25" dxfId="2" operator="between" stopIfTrue="1">
      <formula>0</formula>
      <formula>$D$68</formula>
    </cfRule>
    <cfRule type="cellIs" priority="26" dxfId="3" operator="lessThan" stopIfTrue="1">
      <formula>0</formula>
    </cfRule>
  </conditionalFormatting>
  <printOptions/>
  <pageMargins left="1.1811023622047245" right="0.7874015748031497" top="0.984251968503937" bottom="0.7874015748031497" header="0" footer="0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25.7109375" style="0" customWidth="1"/>
    <col min="3" max="3" width="3.7109375" style="24" customWidth="1"/>
    <col min="4" max="11" width="6.7109375" style="0" customWidth="1"/>
    <col min="12" max="12" width="12.7109375" style="25" customWidth="1"/>
    <col min="13" max="18" width="6.7109375" style="0" customWidth="1"/>
    <col min="19" max="19" width="20.7109375" style="0" customWidth="1"/>
    <col min="20" max="22" width="5.7109375" style="0" customWidth="1"/>
    <col min="23" max="23" width="6.7109375" style="0" customWidth="1"/>
    <col min="24" max="25" width="5.7109375" style="0" customWidth="1"/>
    <col min="26" max="26" width="6.7109375" style="0" customWidth="1"/>
    <col min="27" max="28" width="5.7109375" style="0" customWidth="1"/>
    <col min="29" max="29" width="6.7109375" style="0" customWidth="1"/>
  </cols>
  <sheetData>
    <row r="1" ht="15.75">
      <c r="A1" s="23" t="s">
        <v>213</v>
      </c>
    </row>
    <row r="2" spans="1:29" ht="12.75">
      <c r="A2" s="27"/>
      <c r="B2" s="28"/>
      <c r="C2" s="29"/>
      <c r="D2" s="389" t="s">
        <v>112</v>
      </c>
      <c r="E2" s="385"/>
      <c r="F2" s="385"/>
      <c r="G2" s="385"/>
      <c r="H2" s="385"/>
      <c r="I2" s="385"/>
      <c r="J2" s="385"/>
      <c r="K2" s="388"/>
      <c r="L2" s="389" t="s">
        <v>113</v>
      </c>
      <c r="M2" s="385"/>
      <c r="N2" s="388"/>
      <c r="O2" s="30"/>
      <c r="P2" s="390" t="s">
        <v>114</v>
      </c>
      <c r="Q2" s="391"/>
      <c r="R2" s="391"/>
      <c r="S2" s="392"/>
      <c r="T2" s="389" t="s">
        <v>115</v>
      </c>
      <c r="U2" s="385"/>
      <c r="V2" s="393"/>
      <c r="W2" s="387" t="s">
        <v>116</v>
      </c>
      <c r="X2" s="385"/>
      <c r="Y2" s="385"/>
      <c r="Z2" s="385"/>
      <c r="AA2" s="385"/>
      <c r="AB2" s="385"/>
      <c r="AC2" s="388"/>
    </row>
    <row r="3" spans="1:29" ht="84.75">
      <c r="A3" s="31" t="s">
        <v>117</v>
      </c>
      <c r="B3" s="32" t="s">
        <v>118</v>
      </c>
      <c r="C3" s="33" t="s">
        <v>119</v>
      </c>
      <c r="D3" s="34" t="s">
        <v>120</v>
      </c>
      <c r="E3" s="34" t="s">
        <v>121</v>
      </c>
      <c r="F3" s="34" t="s">
        <v>122</v>
      </c>
      <c r="G3" s="34" t="s">
        <v>123</v>
      </c>
      <c r="H3" s="34" t="s">
        <v>124</v>
      </c>
      <c r="I3" s="34" t="s">
        <v>125</v>
      </c>
      <c r="J3" s="34" t="s">
        <v>126</v>
      </c>
      <c r="K3" s="35" t="s">
        <v>127</v>
      </c>
      <c r="L3" s="36" t="s">
        <v>128</v>
      </c>
      <c r="M3" s="34" t="s">
        <v>129</v>
      </c>
      <c r="N3" s="35" t="s">
        <v>130</v>
      </c>
      <c r="O3" s="37" t="s">
        <v>131</v>
      </c>
      <c r="P3" s="34" t="s">
        <v>529</v>
      </c>
      <c r="Q3" s="34" t="s">
        <v>132</v>
      </c>
      <c r="R3" s="34" t="s">
        <v>133</v>
      </c>
      <c r="S3" s="38" t="s">
        <v>134</v>
      </c>
      <c r="T3" s="39" t="s">
        <v>135</v>
      </c>
      <c r="U3" s="39" t="s">
        <v>136</v>
      </c>
      <c r="V3" s="40" t="s">
        <v>137</v>
      </c>
      <c r="W3" s="39" t="s">
        <v>138</v>
      </c>
      <c r="X3" s="39" t="s">
        <v>139</v>
      </c>
      <c r="Y3" s="39" t="s">
        <v>140</v>
      </c>
      <c r="Z3" s="39" t="s">
        <v>141</v>
      </c>
      <c r="AA3" s="39" t="s">
        <v>142</v>
      </c>
      <c r="AB3" s="41" t="s">
        <v>143</v>
      </c>
      <c r="AC3" s="35" t="s">
        <v>144</v>
      </c>
    </row>
    <row r="4" spans="1:29" ht="15" customHeight="1">
      <c r="A4" s="42" t="s">
        <v>145</v>
      </c>
      <c r="B4" s="43" t="s">
        <v>146</v>
      </c>
      <c r="C4" s="44"/>
      <c r="D4">
        <v>1</v>
      </c>
      <c r="E4" s="87">
        <v>0.6</v>
      </c>
      <c r="F4" s="3" t="s">
        <v>147</v>
      </c>
      <c r="G4">
        <v>0</v>
      </c>
      <c r="H4" s="45" t="s">
        <v>148</v>
      </c>
      <c r="I4" s="3"/>
      <c r="J4" s="3"/>
      <c r="K4" s="46"/>
      <c r="L4" s="25" t="s">
        <v>149</v>
      </c>
      <c r="M4" s="3"/>
      <c r="N4" s="46"/>
      <c r="O4" s="47"/>
      <c r="P4" s="3"/>
      <c r="Q4" s="3"/>
      <c r="R4" s="3"/>
      <c r="S4" s="44"/>
      <c r="V4" s="48"/>
      <c r="W4" s="6"/>
      <c r="AC4" s="49"/>
    </row>
    <row r="5" spans="1:29" ht="15" customHeight="1">
      <c r="A5" s="50" t="s">
        <v>145</v>
      </c>
      <c r="B5" s="51" t="s">
        <v>150</v>
      </c>
      <c r="C5" s="52">
        <v>1</v>
      </c>
      <c r="D5" s="53">
        <v>1</v>
      </c>
      <c r="E5" s="53"/>
      <c r="F5" s="53">
        <v>13</v>
      </c>
      <c r="G5" s="53">
        <v>0</v>
      </c>
      <c r="H5" s="54" t="s">
        <v>413</v>
      </c>
      <c r="I5" s="53" t="s">
        <v>151</v>
      </c>
      <c r="J5" s="53"/>
      <c r="K5" s="55"/>
      <c r="L5" s="56" t="s">
        <v>152</v>
      </c>
      <c r="M5" s="57">
        <v>0.05</v>
      </c>
      <c r="N5" s="55">
        <f>M5</f>
        <v>0.05</v>
      </c>
      <c r="O5" s="58"/>
      <c r="P5" s="53"/>
      <c r="Q5" s="53"/>
      <c r="R5" s="53"/>
      <c r="S5" s="52"/>
      <c r="T5" s="59"/>
      <c r="U5" s="59"/>
      <c r="V5" s="60"/>
      <c r="W5" s="59"/>
      <c r="X5" s="59"/>
      <c r="Y5" s="59"/>
      <c r="Z5" s="59"/>
      <c r="AA5" s="59"/>
      <c r="AB5" s="355">
        <v>0.2</v>
      </c>
      <c r="AC5" s="61">
        <f>SUM(W5:AB5)</f>
        <v>0.2</v>
      </c>
    </row>
    <row r="6" spans="1:29" ht="15" customHeight="1">
      <c r="A6" s="42" t="s">
        <v>153</v>
      </c>
      <c r="B6" s="43" t="s">
        <v>154</v>
      </c>
      <c r="C6" s="44">
        <v>3</v>
      </c>
      <c r="D6">
        <v>3</v>
      </c>
      <c r="E6">
        <v>0.5</v>
      </c>
      <c r="F6">
        <v>4</v>
      </c>
      <c r="G6">
        <v>4</v>
      </c>
      <c r="H6">
        <v>26</v>
      </c>
      <c r="I6" s="3">
        <v>85</v>
      </c>
      <c r="J6" s="3">
        <v>20</v>
      </c>
      <c r="K6" s="69">
        <f>(1-J6/100)*100</f>
        <v>80</v>
      </c>
      <c r="L6" s="25" t="s">
        <v>94</v>
      </c>
      <c r="M6">
        <v>0.2</v>
      </c>
      <c r="N6" s="43">
        <v>1</v>
      </c>
      <c r="O6" s="47">
        <v>0</v>
      </c>
      <c r="P6">
        <f>650*0.01</f>
        <v>6.5</v>
      </c>
      <c r="Q6" s="156">
        <f aca="true" t="shared" si="0" ref="Q6:Q15">P6/F6</f>
        <v>1.625</v>
      </c>
      <c r="R6" s="87">
        <v>3</v>
      </c>
      <c r="S6" s="44" t="s">
        <v>155</v>
      </c>
      <c r="T6" s="7">
        <v>0.23</v>
      </c>
      <c r="U6" s="7">
        <v>0.3</v>
      </c>
      <c r="V6" s="62">
        <v>0.36</v>
      </c>
      <c r="W6" s="63">
        <f>SUM(T6:V6)/60*F6*R6</f>
        <v>0.178</v>
      </c>
      <c r="X6" s="63">
        <f>1*O6</f>
        <v>0</v>
      </c>
      <c r="AB6" s="87"/>
      <c r="AC6" s="49">
        <f>SUM(W6:AB6)</f>
        <v>0.178</v>
      </c>
    </row>
    <row r="7" spans="1:29" ht="15" customHeight="1">
      <c r="A7" s="42" t="s">
        <v>153</v>
      </c>
      <c r="B7" s="43" t="s">
        <v>156</v>
      </c>
      <c r="C7" s="44">
        <v>3</v>
      </c>
      <c r="F7">
        <v>1</v>
      </c>
      <c r="G7">
        <f>G6+F7</f>
        <v>5</v>
      </c>
      <c r="H7">
        <v>25</v>
      </c>
      <c r="I7" s="3" t="s">
        <v>157</v>
      </c>
      <c r="J7" s="3"/>
      <c r="K7" s="46"/>
      <c r="L7" s="25" t="s">
        <v>94</v>
      </c>
      <c r="M7">
        <f>N6</f>
        <v>1</v>
      </c>
      <c r="N7" s="43">
        <v>1</v>
      </c>
      <c r="O7" s="64"/>
      <c r="Q7">
        <f t="shared" si="0"/>
        <v>0</v>
      </c>
      <c r="R7" s="87"/>
      <c r="S7" s="44"/>
      <c r="T7" s="7"/>
      <c r="U7" s="7"/>
      <c r="V7" s="62"/>
      <c r="W7" s="6"/>
      <c r="X7" s="63"/>
      <c r="AB7" s="87"/>
      <c r="AC7" s="49"/>
    </row>
    <row r="8" spans="1:29" ht="15" customHeight="1">
      <c r="A8" s="50" t="s">
        <v>153</v>
      </c>
      <c r="B8" s="51" t="s">
        <v>158</v>
      </c>
      <c r="C8" s="52">
        <v>3</v>
      </c>
      <c r="D8" s="59">
        <v>7</v>
      </c>
      <c r="E8" s="59"/>
      <c r="F8" s="59">
        <v>3</v>
      </c>
      <c r="G8" s="59">
        <f aca="true" t="shared" si="1" ref="G8:G23">G7+F8</f>
        <v>8</v>
      </c>
      <c r="H8" s="59">
        <v>25</v>
      </c>
      <c r="I8" s="53">
        <v>85</v>
      </c>
      <c r="J8" s="53">
        <v>6</v>
      </c>
      <c r="K8" s="55">
        <f>K6-(K6/100*J8/100)*100</f>
        <v>75.2</v>
      </c>
      <c r="L8" s="56" t="s">
        <v>94</v>
      </c>
      <c r="M8" s="59">
        <f aca="true" t="shared" si="2" ref="M8:M15">N7</f>
        <v>1</v>
      </c>
      <c r="N8" s="51">
        <v>2</v>
      </c>
      <c r="O8" s="65">
        <v>1</v>
      </c>
      <c r="P8" s="155">
        <f>650*0.02</f>
        <v>13</v>
      </c>
      <c r="Q8" s="157">
        <f t="shared" si="0"/>
        <v>4.333333333333333</v>
      </c>
      <c r="R8" s="139">
        <v>3</v>
      </c>
      <c r="S8" s="52" t="s">
        <v>159</v>
      </c>
      <c r="T8" s="66">
        <v>0.45</v>
      </c>
      <c r="U8" s="66">
        <v>0.66</v>
      </c>
      <c r="V8" s="67">
        <v>0.5</v>
      </c>
      <c r="W8" s="68">
        <f>SUM(T8:V8)/60*F8*R8</f>
        <v>0.2415</v>
      </c>
      <c r="X8" s="68">
        <f>1*O8</f>
        <v>1</v>
      </c>
      <c r="Y8" s="59"/>
      <c r="Z8" s="59"/>
      <c r="AA8" s="59"/>
      <c r="AB8" s="355">
        <f>0.1*X8</f>
        <v>0.1</v>
      </c>
      <c r="AC8" s="61">
        <f>SUM(W8:AB8)</f>
        <v>1.3415000000000001</v>
      </c>
    </row>
    <row r="9" spans="1:29" ht="15" customHeight="1">
      <c r="A9" s="42" t="s">
        <v>153</v>
      </c>
      <c r="B9" s="43" t="s">
        <v>160</v>
      </c>
      <c r="C9" s="44">
        <v>4</v>
      </c>
      <c r="F9">
        <v>1</v>
      </c>
      <c r="G9">
        <f t="shared" si="1"/>
        <v>9</v>
      </c>
      <c r="H9">
        <v>25</v>
      </c>
      <c r="I9" s="3" t="s">
        <v>157</v>
      </c>
      <c r="J9" s="3"/>
      <c r="K9" s="46"/>
      <c r="L9" s="25" t="s">
        <v>94</v>
      </c>
      <c r="M9">
        <f t="shared" si="2"/>
        <v>2</v>
      </c>
      <c r="N9" s="43">
        <v>2</v>
      </c>
      <c r="O9" s="64"/>
      <c r="Q9">
        <f t="shared" si="0"/>
        <v>0</v>
      </c>
      <c r="R9" s="87"/>
      <c r="S9" s="44"/>
      <c r="T9" s="7"/>
      <c r="U9" s="7"/>
      <c r="V9" s="62"/>
      <c r="W9" s="6"/>
      <c r="X9" s="63"/>
      <c r="AB9" s="87"/>
      <c r="AC9" s="49"/>
    </row>
    <row r="10" spans="1:29" ht="15" customHeight="1">
      <c r="A10" s="42" t="s">
        <v>153</v>
      </c>
      <c r="B10" s="43" t="s">
        <v>161</v>
      </c>
      <c r="C10" s="44">
        <v>4</v>
      </c>
      <c r="D10">
        <v>17</v>
      </c>
      <c r="F10">
        <v>4</v>
      </c>
      <c r="G10">
        <f t="shared" si="1"/>
        <v>13</v>
      </c>
      <c r="H10">
        <v>24</v>
      </c>
      <c r="I10" s="3">
        <v>80</v>
      </c>
      <c r="J10" s="3">
        <v>3</v>
      </c>
      <c r="K10" s="69">
        <f>K8-(K8/100*J10/100)*100</f>
        <v>72.944</v>
      </c>
      <c r="L10" s="25" t="s">
        <v>94</v>
      </c>
      <c r="M10">
        <f t="shared" si="2"/>
        <v>2</v>
      </c>
      <c r="N10" s="43">
        <v>5</v>
      </c>
      <c r="O10" s="64">
        <v>2</v>
      </c>
      <c r="P10">
        <f>650*0.07</f>
        <v>45.50000000000001</v>
      </c>
      <c r="Q10" s="156">
        <f t="shared" si="0"/>
        <v>11.375000000000002</v>
      </c>
      <c r="R10" s="87">
        <v>3</v>
      </c>
      <c r="S10" s="44" t="s">
        <v>162</v>
      </c>
      <c r="T10" s="7">
        <v>0.82</v>
      </c>
      <c r="U10" s="7">
        <v>1.8</v>
      </c>
      <c r="V10" s="62">
        <v>0.92</v>
      </c>
      <c r="W10" s="63">
        <f>SUM(T10:V10)/60*F10*R10</f>
        <v>0.7080000000000001</v>
      </c>
      <c r="X10" s="63">
        <f>1*O10</f>
        <v>2</v>
      </c>
      <c r="AB10" s="93">
        <f>0.1*X10</f>
        <v>0.2</v>
      </c>
      <c r="AC10" s="49">
        <f>SUM(W10:AB10)</f>
        <v>2.9080000000000004</v>
      </c>
    </row>
    <row r="11" spans="1:29" ht="15" customHeight="1">
      <c r="A11" s="50" t="s">
        <v>153</v>
      </c>
      <c r="B11" s="51" t="s">
        <v>163</v>
      </c>
      <c r="C11" s="52">
        <v>4</v>
      </c>
      <c r="D11" s="59"/>
      <c r="E11" s="59"/>
      <c r="F11" s="59">
        <v>1</v>
      </c>
      <c r="G11" s="59">
        <f t="shared" si="1"/>
        <v>14</v>
      </c>
      <c r="H11" s="59">
        <v>24</v>
      </c>
      <c r="I11" s="53" t="s">
        <v>157</v>
      </c>
      <c r="J11" s="53"/>
      <c r="K11" s="55"/>
      <c r="L11" s="56" t="s">
        <v>94</v>
      </c>
      <c r="M11" s="59">
        <f t="shared" si="2"/>
        <v>5</v>
      </c>
      <c r="N11" s="51">
        <v>5</v>
      </c>
      <c r="O11" s="65"/>
      <c r="P11" s="59"/>
      <c r="Q11" s="59">
        <f t="shared" si="0"/>
        <v>0</v>
      </c>
      <c r="R11" s="139"/>
      <c r="S11" s="52"/>
      <c r="T11" s="66"/>
      <c r="U11" s="66"/>
      <c r="V11" s="67"/>
      <c r="W11" s="59"/>
      <c r="X11" s="68"/>
      <c r="Y11" s="59"/>
      <c r="Z11" s="59"/>
      <c r="AA11" s="59"/>
      <c r="AB11" s="139"/>
      <c r="AC11" s="61"/>
    </row>
    <row r="12" spans="1:29" ht="15" customHeight="1">
      <c r="A12" s="42" t="s">
        <v>153</v>
      </c>
      <c r="B12" s="43" t="s">
        <v>164</v>
      </c>
      <c r="C12" s="44">
        <v>5</v>
      </c>
      <c r="D12">
        <v>26</v>
      </c>
      <c r="F12">
        <v>5</v>
      </c>
      <c r="G12">
        <f t="shared" si="1"/>
        <v>19</v>
      </c>
      <c r="H12">
        <v>23</v>
      </c>
      <c r="I12" s="3">
        <v>75</v>
      </c>
      <c r="J12" s="3">
        <v>1</v>
      </c>
      <c r="K12" s="69">
        <f>K10-(K10/100*J12/100)*100</f>
        <v>72.21456</v>
      </c>
      <c r="L12" s="25" t="s">
        <v>217</v>
      </c>
      <c r="M12">
        <f t="shared" si="2"/>
        <v>5</v>
      </c>
      <c r="N12" s="43">
        <v>10</v>
      </c>
      <c r="O12" s="47">
        <v>2</v>
      </c>
      <c r="P12" s="87">
        <f>650*0.1</f>
        <v>65</v>
      </c>
      <c r="Q12">
        <f t="shared" si="0"/>
        <v>13</v>
      </c>
      <c r="R12" s="140">
        <v>4</v>
      </c>
      <c r="S12" s="44" t="s">
        <v>165</v>
      </c>
      <c r="T12" s="7">
        <v>2.75</v>
      </c>
      <c r="U12" s="7">
        <v>0.24</v>
      </c>
      <c r="V12" s="62">
        <v>1.82</v>
      </c>
      <c r="W12" s="63">
        <f>SUM(T12:V12)/60*F12*R12</f>
        <v>1.6033333333333335</v>
      </c>
      <c r="X12" s="63">
        <f>1*O12</f>
        <v>2</v>
      </c>
      <c r="AB12" s="93">
        <f>0.1*X12</f>
        <v>0.2</v>
      </c>
      <c r="AC12" s="49">
        <f>SUM(W12:AB12)</f>
        <v>3.8033333333333337</v>
      </c>
    </row>
    <row r="13" spans="1:29" ht="15" customHeight="1">
      <c r="A13" s="50" t="s">
        <v>153</v>
      </c>
      <c r="B13" s="51" t="s">
        <v>166</v>
      </c>
      <c r="C13" s="52">
        <v>5</v>
      </c>
      <c r="D13" s="59"/>
      <c r="E13" s="59"/>
      <c r="F13" s="59">
        <v>2</v>
      </c>
      <c r="G13" s="59">
        <f t="shared" si="1"/>
        <v>21</v>
      </c>
      <c r="H13" s="59">
        <v>23</v>
      </c>
      <c r="I13" s="53" t="s">
        <v>157</v>
      </c>
      <c r="J13" s="53"/>
      <c r="K13" s="55"/>
      <c r="L13" s="348" t="s">
        <v>217</v>
      </c>
      <c r="M13" s="59">
        <f t="shared" si="2"/>
        <v>10</v>
      </c>
      <c r="N13" s="51">
        <v>10</v>
      </c>
      <c r="O13" s="58"/>
      <c r="P13" s="59"/>
      <c r="Q13" s="59">
        <f t="shared" si="0"/>
        <v>0</v>
      </c>
      <c r="R13" s="139"/>
      <c r="S13" s="52"/>
      <c r="T13" s="66"/>
      <c r="U13" s="66"/>
      <c r="V13" s="67"/>
      <c r="W13" s="59"/>
      <c r="X13" s="368"/>
      <c r="Y13" s="59"/>
      <c r="Z13" s="59"/>
      <c r="AA13" s="59"/>
      <c r="AB13" s="139"/>
      <c r="AC13" s="61"/>
    </row>
    <row r="14" spans="1:29" ht="15" customHeight="1">
      <c r="A14" s="70" t="s">
        <v>153</v>
      </c>
      <c r="B14" s="71" t="s">
        <v>167</v>
      </c>
      <c r="C14" s="72">
        <v>6</v>
      </c>
      <c r="D14" s="73">
        <v>45</v>
      </c>
      <c r="E14" s="73">
        <v>3000</v>
      </c>
      <c r="F14" s="73">
        <v>8</v>
      </c>
      <c r="G14" s="73">
        <f t="shared" si="1"/>
        <v>29</v>
      </c>
      <c r="H14" s="74" t="s">
        <v>168</v>
      </c>
      <c r="I14" s="74" t="s">
        <v>169</v>
      </c>
      <c r="J14" s="74"/>
      <c r="K14" s="75">
        <f>K12-(K12/100*J14/100)*100</f>
        <v>72.21456</v>
      </c>
      <c r="L14" s="348" t="s">
        <v>217</v>
      </c>
      <c r="M14" s="73">
        <f t="shared" si="2"/>
        <v>10</v>
      </c>
      <c r="N14" s="153">
        <v>25</v>
      </c>
      <c r="O14" s="76">
        <v>3</v>
      </c>
      <c r="P14" s="138">
        <f>650*0.8</f>
        <v>520</v>
      </c>
      <c r="Q14" s="73">
        <f t="shared" si="0"/>
        <v>65</v>
      </c>
      <c r="R14" s="141">
        <v>5</v>
      </c>
      <c r="S14" s="72" t="s">
        <v>165</v>
      </c>
      <c r="T14" s="77">
        <v>6.75</v>
      </c>
      <c r="U14" s="77">
        <v>0.24</v>
      </c>
      <c r="V14" s="78">
        <v>9.4</v>
      </c>
      <c r="W14" s="142">
        <f>SUM(T14:V14)/60*F14*R14</f>
        <v>10.926666666666666</v>
      </c>
      <c r="X14" s="68">
        <f>1*O14</f>
        <v>3</v>
      </c>
      <c r="Y14" s="68">
        <v>2</v>
      </c>
      <c r="Z14" s="73"/>
      <c r="AA14" s="73"/>
      <c r="AB14" s="355">
        <f>0.1*X14</f>
        <v>0.30000000000000004</v>
      </c>
      <c r="AC14" s="79">
        <f>SUM(W14:AB14)</f>
        <v>16.226666666666667</v>
      </c>
    </row>
    <row r="15" spans="1:29" ht="15" customHeight="1">
      <c r="A15" s="70" t="s">
        <v>153</v>
      </c>
      <c r="B15" s="71" t="s">
        <v>170</v>
      </c>
      <c r="C15" s="72">
        <v>8</v>
      </c>
      <c r="D15" s="73">
        <v>90</v>
      </c>
      <c r="E15" s="73"/>
      <c r="F15" s="73">
        <v>4</v>
      </c>
      <c r="G15" s="73">
        <f t="shared" si="1"/>
        <v>33</v>
      </c>
      <c r="H15" s="73">
        <v>23</v>
      </c>
      <c r="I15" s="74"/>
      <c r="J15" s="74"/>
      <c r="K15" s="360"/>
      <c r="L15" s="26" t="s">
        <v>171</v>
      </c>
      <c r="M15" s="154">
        <f t="shared" si="2"/>
        <v>25</v>
      </c>
      <c r="N15" s="364">
        <v>25</v>
      </c>
      <c r="O15" s="85"/>
      <c r="P15" s="4"/>
      <c r="Q15" s="4">
        <f t="shared" si="0"/>
        <v>0</v>
      </c>
      <c r="R15" s="4"/>
      <c r="S15" s="82"/>
      <c r="T15" s="356"/>
      <c r="U15" s="77"/>
      <c r="V15" s="78"/>
      <c r="W15" s="73"/>
      <c r="X15" s="73"/>
      <c r="Y15" s="357">
        <v>0.3</v>
      </c>
      <c r="Z15" s="73"/>
      <c r="AA15" s="73"/>
      <c r="AB15" s="73"/>
      <c r="AC15" s="79">
        <f>SUM(W15:AB15)</f>
        <v>0.3</v>
      </c>
    </row>
    <row r="16" spans="1:29" ht="15" customHeight="1">
      <c r="A16" s="42"/>
      <c r="B16" s="43" t="s">
        <v>172</v>
      </c>
      <c r="C16" s="44">
        <v>9</v>
      </c>
      <c r="E16">
        <f>Q31*1000</f>
        <v>2000</v>
      </c>
      <c r="F16" s="132" t="s">
        <v>412</v>
      </c>
      <c r="G16" t="s">
        <v>173</v>
      </c>
      <c r="I16" s="3"/>
      <c r="J16" s="3"/>
      <c r="K16" s="43"/>
      <c r="L16" s="25" t="s">
        <v>530</v>
      </c>
      <c r="N16" s="363">
        <f>N11</f>
        <v>5</v>
      </c>
      <c r="O16" s="28"/>
      <c r="P16">
        <f>SUM(P6:P15)</f>
        <v>650</v>
      </c>
      <c r="Q16" s="28" t="s">
        <v>174</v>
      </c>
      <c r="S16" s="28"/>
      <c r="U16" s="3" t="s">
        <v>175</v>
      </c>
      <c r="V16" s="351">
        <f>IF(Y29="material natural",Y30,Y31)</f>
        <v>4</v>
      </c>
      <c r="W16" t="s">
        <v>176</v>
      </c>
      <c r="Z16" s="63">
        <f>Q28*V16/60</f>
        <v>2</v>
      </c>
      <c r="AA16" s="131">
        <f>Y32/3600*Q28/Q31*1000</f>
        <v>4.166666666666667</v>
      </c>
      <c r="AC16" s="49">
        <f>SUM(Y16:AB16)</f>
        <v>6.166666666666667</v>
      </c>
    </row>
    <row r="17" spans="1:29" ht="15" customHeight="1">
      <c r="A17" s="80"/>
      <c r="B17" s="81" t="s">
        <v>177</v>
      </c>
      <c r="C17" s="82"/>
      <c r="D17" s="4"/>
      <c r="E17" s="4"/>
      <c r="F17" s="361">
        <f>H52</f>
        <v>3</v>
      </c>
      <c r="G17" s="4" t="s">
        <v>462</v>
      </c>
      <c r="H17" s="4"/>
      <c r="I17" s="83"/>
      <c r="J17" s="83"/>
      <c r="K17" s="160"/>
      <c r="L17" s="25" t="s">
        <v>531</v>
      </c>
      <c r="N17" s="363">
        <f>N14</f>
        <v>25</v>
      </c>
      <c r="O17" s="43"/>
      <c r="Q17" s="3" t="s">
        <v>178</v>
      </c>
      <c r="R17" s="87">
        <f>P16/Q28</f>
        <v>21.666666666666668</v>
      </c>
      <c r="S17" s="43" t="s">
        <v>179</v>
      </c>
      <c r="W17" s="4"/>
      <c r="X17" s="4"/>
      <c r="Y17" s="4"/>
      <c r="Z17" s="358" t="s">
        <v>528</v>
      </c>
      <c r="AA17" s="4"/>
      <c r="AB17" s="359">
        <v>0.3</v>
      </c>
      <c r="AC17" s="210">
        <f>SUM(Z17:AB17)</f>
        <v>0.3</v>
      </c>
    </row>
    <row r="18" spans="1:29" ht="15" customHeight="1">
      <c r="A18" s="80"/>
      <c r="B18" s="81" t="s">
        <v>180</v>
      </c>
      <c r="C18" s="82">
        <v>9</v>
      </c>
      <c r="D18" s="4"/>
      <c r="E18" s="4"/>
      <c r="F18" s="83" t="s">
        <v>181</v>
      </c>
      <c r="G18" s="4" t="s">
        <v>173</v>
      </c>
      <c r="H18" s="4"/>
      <c r="I18" s="83"/>
      <c r="J18" s="83"/>
      <c r="K18" s="84"/>
      <c r="L18" s="26" t="str">
        <f>IF(Y29="material natural","Nat. nat.","Erizos")&amp;"  (por telaino)"</f>
        <v>Erizos  (por telaino)</v>
      </c>
      <c r="M18" s="4"/>
      <c r="N18" s="365">
        <f>N15/I45</f>
        <v>38.46153846153846</v>
      </c>
      <c r="O18" s="160" t="str">
        <f>IF(Y29="material natural","m2","erizos")</f>
        <v>erizos</v>
      </c>
      <c r="P18" s="4"/>
      <c r="Q18" s="4"/>
      <c r="R18" s="4"/>
      <c r="S18" s="81"/>
      <c r="T18" s="4"/>
      <c r="U18" s="4"/>
      <c r="V18" s="83" t="s">
        <v>182</v>
      </c>
      <c r="W18" s="86">
        <f aca="true" t="shared" si="3" ref="W18:AC18">SUM(W4:W17)</f>
        <v>13.657499999999999</v>
      </c>
      <c r="X18" s="158">
        <f t="shared" si="3"/>
        <v>8</v>
      </c>
      <c r="Y18" s="158">
        <f t="shared" si="3"/>
        <v>2.3</v>
      </c>
      <c r="Z18" s="158">
        <f t="shared" si="3"/>
        <v>2</v>
      </c>
      <c r="AA18" s="88">
        <f t="shared" si="3"/>
        <v>4.166666666666667</v>
      </c>
      <c r="AB18" s="86">
        <f t="shared" si="3"/>
        <v>1.3</v>
      </c>
      <c r="AC18" s="89">
        <f t="shared" si="3"/>
        <v>31.424166666666668</v>
      </c>
    </row>
    <row r="19" spans="1:29" ht="15" customHeight="1">
      <c r="A19" s="42" t="s">
        <v>183</v>
      </c>
      <c r="B19" s="43"/>
      <c r="C19" s="44">
        <v>1</v>
      </c>
      <c r="D19" s="6"/>
      <c r="E19" s="6"/>
      <c r="F19" s="6">
        <v>14</v>
      </c>
      <c r="G19" s="6">
        <f>G15+F19</f>
        <v>47</v>
      </c>
      <c r="H19" s="6">
        <v>25</v>
      </c>
      <c r="I19" s="6"/>
      <c r="J19" s="6"/>
      <c r="K19" s="28"/>
      <c r="L19" s="90" t="s">
        <v>184</v>
      </c>
      <c r="M19" s="284">
        <v>25</v>
      </c>
      <c r="N19" s="43"/>
      <c r="O19" s="91"/>
      <c r="P19" s="90" t="s">
        <v>185</v>
      </c>
      <c r="Q19" s="92"/>
      <c r="R19" s="92"/>
      <c r="S19" s="28"/>
      <c r="T19" s="6"/>
      <c r="U19" s="6"/>
      <c r="V19" s="6"/>
      <c r="W19" s="6"/>
      <c r="X19" s="6"/>
      <c r="Y19" s="6"/>
      <c r="Z19" s="6"/>
      <c r="AA19" s="6"/>
      <c r="AC19" s="133"/>
    </row>
    <row r="20" spans="1:29" ht="15" customHeight="1">
      <c r="A20" s="42" t="s">
        <v>186</v>
      </c>
      <c r="B20" s="43" t="s">
        <v>187</v>
      </c>
      <c r="C20" s="44">
        <v>3</v>
      </c>
      <c r="F20">
        <v>1</v>
      </c>
      <c r="G20">
        <f t="shared" si="1"/>
        <v>48</v>
      </c>
      <c r="K20" s="43"/>
      <c r="L20" s="90" t="s">
        <v>184</v>
      </c>
      <c r="M20" s="284">
        <v>25</v>
      </c>
      <c r="N20" s="43"/>
      <c r="O20" s="64"/>
      <c r="P20" s="90" t="s">
        <v>185</v>
      </c>
      <c r="Q20" s="3"/>
      <c r="R20" s="3"/>
      <c r="S20" s="43"/>
      <c r="AC20" s="209"/>
    </row>
    <row r="21" spans="1:29" ht="15" customHeight="1">
      <c r="A21" s="42" t="s">
        <v>186</v>
      </c>
      <c r="B21" s="43" t="s">
        <v>188</v>
      </c>
      <c r="C21" s="44">
        <v>4</v>
      </c>
      <c r="F21">
        <v>1</v>
      </c>
      <c r="G21">
        <f t="shared" si="1"/>
        <v>49</v>
      </c>
      <c r="K21" s="43"/>
      <c r="L21" s="90" t="s">
        <v>184</v>
      </c>
      <c r="M21" s="284">
        <v>25</v>
      </c>
      <c r="N21" s="43"/>
      <c r="O21" s="64"/>
      <c r="P21" s="90" t="s">
        <v>185</v>
      </c>
      <c r="Q21" s="3"/>
      <c r="R21" s="3"/>
      <c r="S21" s="43"/>
      <c r="Y21" s="3" t="s">
        <v>527</v>
      </c>
      <c r="Z21" s="93">
        <f>$Y$33*20000/3600</f>
        <v>5.555555555555555</v>
      </c>
      <c r="AB21" s="7">
        <v>0.5</v>
      </c>
      <c r="AC21" s="133">
        <f>SUM(W21:AB21)</f>
        <v>6.055555555555555</v>
      </c>
    </row>
    <row r="22" spans="1:29" ht="15" customHeight="1">
      <c r="A22" s="42" t="s">
        <v>186</v>
      </c>
      <c r="B22" s="43" t="s">
        <v>189</v>
      </c>
      <c r="C22" s="44">
        <v>4</v>
      </c>
      <c r="F22">
        <v>2</v>
      </c>
      <c r="G22">
        <f t="shared" si="1"/>
        <v>51</v>
      </c>
      <c r="K22" s="43"/>
      <c r="L22" s="90" t="s">
        <v>184</v>
      </c>
      <c r="M22" s="284">
        <v>25</v>
      </c>
      <c r="N22" s="43"/>
      <c r="O22" s="64"/>
      <c r="P22" s="90" t="s">
        <v>185</v>
      </c>
      <c r="Q22" s="3"/>
      <c r="R22" s="3"/>
      <c r="S22" s="43"/>
      <c r="AC22" s="209"/>
    </row>
    <row r="23" spans="1:29" ht="15" customHeight="1">
      <c r="A23" s="80" t="s">
        <v>186</v>
      </c>
      <c r="B23" s="81" t="s">
        <v>190</v>
      </c>
      <c r="C23" s="82">
        <v>4</v>
      </c>
      <c r="D23" s="4"/>
      <c r="E23" s="4"/>
      <c r="F23" s="4">
        <v>3</v>
      </c>
      <c r="G23" s="4">
        <f t="shared" si="1"/>
        <v>54</v>
      </c>
      <c r="H23" s="4"/>
      <c r="I23" s="4"/>
      <c r="J23" s="4"/>
      <c r="K23" s="81"/>
      <c r="L23" s="94" t="s">
        <v>184</v>
      </c>
      <c r="M23" s="285">
        <v>25</v>
      </c>
      <c r="N23" s="81"/>
      <c r="O23" s="85"/>
      <c r="P23" s="26" t="s">
        <v>185</v>
      </c>
      <c r="Q23" s="83"/>
      <c r="R23" s="83"/>
      <c r="S23" s="81"/>
      <c r="T23" s="4"/>
      <c r="U23" s="4"/>
      <c r="V23" s="4"/>
      <c r="W23" s="4"/>
      <c r="X23" s="4"/>
      <c r="Y23" s="4"/>
      <c r="Z23" s="4"/>
      <c r="AA23" s="4"/>
      <c r="AB23" s="4"/>
      <c r="AC23" s="210"/>
    </row>
    <row r="24" ht="15" customHeight="1"/>
    <row r="25" spans="1:29" ht="15" customHeight="1">
      <c r="A25" t="s">
        <v>191</v>
      </c>
      <c r="F25" s="27"/>
      <c r="G25" s="95"/>
      <c r="H25" s="96" t="s">
        <v>441</v>
      </c>
      <c r="I25" s="352">
        <v>3</v>
      </c>
      <c r="J25" s="28" t="s">
        <v>42</v>
      </c>
      <c r="M25" s="27"/>
      <c r="N25" s="95"/>
      <c r="O25" s="95"/>
      <c r="P25" s="96" t="s">
        <v>205</v>
      </c>
      <c r="Q25" s="98">
        <f>20000/2*K14/100</f>
        <v>7221.456000000001</v>
      </c>
      <c r="R25" s="95" t="s">
        <v>206</v>
      </c>
      <c r="S25" s="28"/>
      <c r="AB25" s="3" t="s">
        <v>373</v>
      </c>
      <c r="AC25" s="283">
        <v>0.1</v>
      </c>
    </row>
    <row r="26" spans="1:19" ht="15" customHeight="1">
      <c r="A26" t="s">
        <v>195</v>
      </c>
      <c r="F26" s="80"/>
      <c r="G26" s="4"/>
      <c r="H26" s="83" t="s">
        <v>442</v>
      </c>
      <c r="I26" s="353">
        <v>2</v>
      </c>
      <c r="J26" s="81" t="s">
        <v>42</v>
      </c>
      <c r="M26" s="80"/>
      <c r="N26" s="4"/>
      <c r="O26" s="4"/>
      <c r="P26" s="83" t="s">
        <v>537</v>
      </c>
      <c r="Q26" s="4">
        <v>400</v>
      </c>
      <c r="R26" s="4" t="s">
        <v>209</v>
      </c>
      <c r="S26" s="81"/>
    </row>
    <row r="27" spans="1:29" ht="15" customHeight="1">
      <c r="A27" t="s">
        <v>199</v>
      </c>
      <c r="W27" s="99"/>
      <c r="X27" s="100"/>
      <c r="Y27" s="349"/>
      <c r="Z27" s="349"/>
      <c r="AA27" s="100"/>
      <c r="AB27" s="101" t="s">
        <v>521</v>
      </c>
      <c r="AC27" s="350">
        <f>AC18/Q28</f>
        <v>1.0474722222222224</v>
      </c>
    </row>
    <row r="28" spans="1:19" ht="15" customHeight="1">
      <c r="A28" t="s">
        <v>202</v>
      </c>
      <c r="M28" s="27"/>
      <c r="N28" s="95"/>
      <c r="O28" s="95"/>
      <c r="P28" s="96" t="s">
        <v>192</v>
      </c>
      <c r="Q28" s="286">
        <v>30</v>
      </c>
      <c r="R28" s="97" t="s">
        <v>193</v>
      </c>
      <c r="S28" s="28"/>
    </row>
    <row r="29" spans="1:29" ht="15" customHeight="1">
      <c r="A29" t="s">
        <v>204</v>
      </c>
      <c r="M29" s="42"/>
      <c r="N29" s="6"/>
      <c r="O29" s="6"/>
      <c r="P29" s="92" t="s">
        <v>324</v>
      </c>
      <c r="Q29" s="333">
        <v>0.015</v>
      </c>
      <c r="R29" s="6" t="s">
        <v>401</v>
      </c>
      <c r="S29" s="43"/>
      <c r="U29" s="27"/>
      <c r="V29" s="95"/>
      <c r="W29" s="95"/>
      <c r="X29" s="96" t="s">
        <v>194</v>
      </c>
      <c r="Y29" s="111" t="s">
        <v>525</v>
      </c>
      <c r="Z29" s="95"/>
      <c r="AA29" s="95"/>
      <c r="AB29" s="95"/>
      <c r="AC29" s="28"/>
    </row>
    <row r="30" spans="1:29" ht="15" customHeight="1">
      <c r="A30" t="s">
        <v>208</v>
      </c>
      <c r="M30" s="42"/>
      <c r="N30" s="6"/>
      <c r="O30" s="6"/>
      <c r="P30" s="92" t="s">
        <v>196</v>
      </c>
      <c r="Q30" s="9">
        <v>0.4</v>
      </c>
      <c r="R30" s="6" t="s">
        <v>197</v>
      </c>
      <c r="S30" s="43"/>
      <c r="U30" s="42"/>
      <c r="V30" s="6"/>
      <c r="W30" s="6"/>
      <c r="X30" s="92" t="s">
        <v>198</v>
      </c>
      <c r="Y30" s="6">
        <v>12</v>
      </c>
      <c r="Z30" s="6" t="s">
        <v>176</v>
      </c>
      <c r="AA30" s="92">
        <f>$Q$28*Y30/60</f>
        <v>6</v>
      </c>
      <c r="AB30" s="6" t="s">
        <v>287</v>
      </c>
      <c r="AC30" s="43"/>
    </row>
    <row r="31" spans="13:29" ht="15" customHeight="1">
      <c r="M31" s="42"/>
      <c r="N31" s="6"/>
      <c r="O31" s="6"/>
      <c r="P31" s="92" t="s">
        <v>200</v>
      </c>
      <c r="Q31" s="287">
        <v>2</v>
      </c>
      <c r="R31" s="6" t="s">
        <v>201</v>
      </c>
      <c r="S31" s="43"/>
      <c r="U31" s="42"/>
      <c r="V31" s="6"/>
      <c r="W31" s="6"/>
      <c r="X31" s="92" t="s">
        <v>525</v>
      </c>
      <c r="Y31" s="6">
        <v>4</v>
      </c>
      <c r="Z31" s="6" t="s">
        <v>176</v>
      </c>
      <c r="AA31" s="92">
        <f>$Q$28*Y31/60</f>
        <v>2</v>
      </c>
      <c r="AB31" s="6" t="s">
        <v>287</v>
      </c>
      <c r="AC31" s="43"/>
    </row>
    <row r="32" spans="1:29" ht="12.75">
      <c r="A32" t="s">
        <v>210</v>
      </c>
      <c r="M32" s="42"/>
      <c r="N32" s="6"/>
      <c r="O32" s="6"/>
      <c r="P32" s="92" t="s">
        <v>396</v>
      </c>
      <c r="Q32" s="211">
        <f>Q30*Q31</f>
        <v>0.8</v>
      </c>
      <c r="R32" s="6" t="s">
        <v>201</v>
      </c>
      <c r="S32" s="43"/>
      <c r="U32" s="42"/>
      <c r="V32" s="6"/>
      <c r="W32" s="6"/>
      <c r="X32" s="92" t="s">
        <v>203</v>
      </c>
      <c r="Y32" s="113">
        <v>1</v>
      </c>
      <c r="Z32" s="6" t="s">
        <v>522</v>
      </c>
      <c r="AA32" s="6"/>
      <c r="AB32" s="6"/>
      <c r="AC32" s="43"/>
    </row>
    <row r="33" spans="1:29" ht="12.75">
      <c r="A33" t="s">
        <v>211</v>
      </c>
      <c r="M33" s="80"/>
      <c r="N33" s="4"/>
      <c r="O33" s="4"/>
      <c r="P33" s="83" t="s">
        <v>365</v>
      </c>
      <c r="Q33" s="143">
        <f>Q32/(3*1.5*1.5)/1000*1000000</f>
        <v>118.51851851851852</v>
      </c>
      <c r="R33" s="4" t="s">
        <v>366</v>
      </c>
      <c r="S33" s="81"/>
      <c r="U33" s="80"/>
      <c r="V33" s="4"/>
      <c r="W33" s="4"/>
      <c r="X33" s="83" t="s">
        <v>207</v>
      </c>
      <c r="Y33" s="154">
        <v>1</v>
      </c>
      <c r="Z33" s="4" t="s">
        <v>288</v>
      </c>
      <c r="AA33" s="4"/>
      <c r="AB33" s="4"/>
      <c r="AC33" s="81"/>
    </row>
    <row r="34" ht="12.75">
      <c r="A34" t="s">
        <v>212</v>
      </c>
    </row>
    <row r="36" ht="15">
      <c r="A36" s="105" t="s">
        <v>289</v>
      </c>
    </row>
    <row r="37" spans="2:19" ht="12.75">
      <c r="B37" s="3" t="s">
        <v>294</v>
      </c>
      <c r="C37" s="24">
        <f>F5</f>
        <v>13</v>
      </c>
      <c r="D37" t="s">
        <v>42</v>
      </c>
      <c r="H37" s="3" t="s">
        <v>291</v>
      </c>
      <c r="I37">
        <v>18</v>
      </c>
      <c r="J37" t="s">
        <v>292</v>
      </c>
      <c r="L37" s="3" t="s">
        <v>290</v>
      </c>
      <c r="M37" s="362">
        <v>13</v>
      </c>
      <c r="N37" t="s">
        <v>292</v>
      </c>
      <c r="Q37" s="3" t="s">
        <v>397</v>
      </c>
      <c r="R37" s="3">
        <f>I37-M37</f>
        <v>5</v>
      </c>
      <c r="S37" t="s">
        <v>292</v>
      </c>
    </row>
    <row r="38" spans="12:14" ht="12.75">
      <c r="L38" s="3" t="s">
        <v>296</v>
      </c>
      <c r="M38">
        <f>120/1000</f>
        <v>0.12</v>
      </c>
      <c r="N38" t="s">
        <v>295</v>
      </c>
    </row>
    <row r="39" spans="3:5" ht="12.75">
      <c r="C39" s="3" t="s">
        <v>293</v>
      </c>
      <c r="D39" s="87">
        <f>M38/1000*R37*C37</f>
        <v>0.0078</v>
      </c>
      <c r="E39" t="s">
        <v>300</v>
      </c>
    </row>
    <row r="40" spans="19:22" ht="12.75">
      <c r="S40" s="11" t="s">
        <v>392</v>
      </c>
      <c r="T40" s="95"/>
      <c r="U40" s="95"/>
      <c r="V40" s="28"/>
    </row>
    <row r="41" spans="2:23" ht="12.75">
      <c r="B41" s="3" t="s">
        <v>297</v>
      </c>
      <c r="C41" s="24">
        <v>0.3</v>
      </c>
      <c r="D41" t="s">
        <v>298</v>
      </c>
      <c r="S41" s="129" t="s">
        <v>304</v>
      </c>
      <c r="T41" s="6">
        <v>8600</v>
      </c>
      <c r="U41" s="6" t="s">
        <v>458</v>
      </c>
      <c r="V41" s="43"/>
      <c r="W41" s="161"/>
    </row>
    <row r="42" spans="2:23" ht="12.75">
      <c r="B42" s="3" t="s">
        <v>319</v>
      </c>
      <c r="C42" s="24">
        <v>3</v>
      </c>
      <c r="D42" t="s">
        <v>320</v>
      </c>
      <c r="J42" s="87" t="s">
        <v>321</v>
      </c>
      <c r="K42" s="25"/>
      <c r="S42" s="129" t="s">
        <v>450</v>
      </c>
      <c r="T42" s="6">
        <v>9500</v>
      </c>
      <c r="U42" s="6" t="s">
        <v>458</v>
      </c>
      <c r="V42" s="43"/>
      <c r="W42" s="161"/>
    </row>
    <row r="43" spans="2:23" ht="12.75">
      <c r="B43" s="3" t="s">
        <v>523</v>
      </c>
      <c r="C43" s="24">
        <v>1</v>
      </c>
      <c r="D43" t="s">
        <v>323</v>
      </c>
      <c r="K43" s="87"/>
      <c r="S43" s="129" t="s">
        <v>451</v>
      </c>
      <c r="T43" s="6">
        <v>8200</v>
      </c>
      <c r="U43" s="6" t="s">
        <v>458</v>
      </c>
      <c r="V43" s="43"/>
      <c r="W43" s="161"/>
    </row>
    <row r="44" spans="2:23" ht="12.75">
      <c r="B44" s="3"/>
      <c r="K44" s="87"/>
      <c r="S44" s="129" t="s">
        <v>452</v>
      </c>
      <c r="T44" s="6">
        <v>8610</v>
      </c>
      <c r="U44" s="6" t="s">
        <v>388</v>
      </c>
      <c r="V44" s="43"/>
      <c r="W44" s="161"/>
    </row>
    <row r="45" spans="2:23" ht="12.75">
      <c r="B45" s="3" t="s">
        <v>524</v>
      </c>
      <c r="C45" s="107">
        <v>40</v>
      </c>
      <c r="D45" t="s">
        <v>326</v>
      </c>
      <c r="H45" s="3" t="s">
        <v>327</v>
      </c>
      <c r="I45" s="87">
        <v>0.65</v>
      </c>
      <c r="J45" t="s">
        <v>535</v>
      </c>
      <c r="S45" s="129" t="s">
        <v>453</v>
      </c>
      <c r="T45" s="6">
        <v>11100</v>
      </c>
      <c r="U45" s="6" t="s">
        <v>389</v>
      </c>
      <c r="V45" s="43"/>
      <c r="W45" s="161"/>
    </row>
    <row r="46" spans="19:23" ht="12.75">
      <c r="S46" s="129" t="s">
        <v>454</v>
      </c>
      <c r="T46" s="6">
        <v>3500</v>
      </c>
      <c r="U46" s="6" t="s">
        <v>389</v>
      </c>
      <c r="V46" s="43"/>
      <c r="W46" s="161"/>
    </row>
    <row r="47" spans="1:23" ht="12.75">
      <c r="A47" t="s">
        <v>301</v>
      </c>
      <c r="B47" s="3" t="s">
        <v>536</v>
      </c>
      <c r="C47" s="107">
        <v>100</v>
      </c>
      <c r="D47" t="s">
        <v>312</v>
      </c>
      <c r="H47" s="3" t="s">
        <v>387</v>
      </c>
      <c r="I47" s="208">
        <f>15/250/Q32*1000</f>
        <v>75</v>
      </c>
      <c r="J47" t="s">
        <v>379</v>
      </c>
      <c r="M47" s="3" t="str">
        <f>Datos!G44</f>
        <v>Gas licuado (propano)</v>
      </c>
      <c r="N47">
        <f>VLOOKUP($M$47,$S$41:$T$49,2,FALSE)</f>
        <v>11100</v>
      </c>
      <c r="O47" t="str">
        <f>VLOOKUP(M47,$S$41:$U$49,3,FALSE)</f>
        <v>kcal/kg</v>
      </c>
      <c r="S47" s="129" t="s">
        <v>455</v>
      </c>
      <c r="T47" s="6">
        <v>3500</v>
      </c>
      <c r="U47" s="6" t="s">
        <v>389</v>
      </c>
      <c r="V47" s="43"/>
      <c r="W47" s="161"/>
    </row>
    <row r="48" spans="3:23" ht="12.75">
      <c r="C48" s="107"/>
      <c r="H48" s="3" t="s">
        <v>370</v>
      </c>
      <c r="I48" s="288">
        <v>100</v>
      </c>
      <c r="J48" t="s">
        <v>390</v>
      </c>
      <c r="M48" s="3" t="s">
        <v>371</v>
      </c>
      <c r="N48" s="290">
        <v>0.6</v>
      </c>
      <c r="P48" s="3" t="s">
        <v>482</v>
      </c>
      <c r="Q48" s="293">
        <v>10</v>
      </c>
      <c r="R48" t="s">
        <v>481</v>
      </c>
      <c r="S48" s="129" t="s">
        <v>456</v>
      </c>
      <c r="T48" s="6">
        <v>4400</v>
      </c>
      <c r="U48" s="6" t="s">
        <v>389</v>
      </c>
      <c r="V48" s="43"/>
      <c r="W48" s="161"/>
    </row>
    <row r="49" spans="8:23" ht="12.75">
      <c r="H49" s="3" t="s">
        <v>394</v>
      </c>
      <c r="I49" s="283">
        <v>0.09</v>
      </c>
      <c r="J49" t="s">
        <v>311</v>
      </c>
      <c r="L49"/>
      <c r="M49" s="3" t="s">
        <v>395</v>
      </c>
      <c r="N49" s="291">
        <v>0.1</v>
      </c>
      <c r="O49" t="s">
        <v>311</v>
      </c>
      <c r="S49" s="130" t="s">
        <v>457</v>
      </c>
      <c r="T49" s="4">
        <v>5700</v>
      </c>
      <c r="U49" s="4" t="s">
        <v>389</v>
      </c>
      <c r="V49" s="81"/>
      <c r="W49" s="161"/>
    </row>
    <row r="50" spans="8:22" ht="12.75">
      <c r="H50" s="3" t="s">
        <v>422</v>
      </c>
      <c r="I50" s="289">
        <v>10</v>
      </c>
      <c r="J50" t="s">
        <v>423</v>
      </c>
      <c r="L50"/>
      <c r="S50" s="92"/>
      <c r="T50" s="6"/>
      <c r="U50" s="6"/>
      <c r="V50" s="6"/>
    </row>
    <row r="52" spans="1:24" ht="12.75">
      <c r="A52" t="s">
        <v>313</v>
      </c>
      <c r="C52" s="106"/>
      <c r="G52" s="3" t="s">
        <v>372</v>
      </c>
      <c r="H52" s="283">
        <v>3</v>
      </c>
      <c r="I52" t="s">
        <v>462</v>
      </c>
      <c r="L52" s="3" t="s">
        <v>371</v>
      </c>
      <c r="M52" s="290">
        <v>0.5</v>
      </c>
      <c r="N52" s="3" t="s">
        <v>448</v>
      </c>
      <c r="O52" s="292">
        <v>0.6</v>
      </c>
      <c r="P52" s="3" t="s">
        <v>449</v>
      </c>
      <c r="Q52" s="292">
        <v>0.1</v>
      </c>
      <c r="S52" s="3" t="str">
        <f>Datos!G44</f>
        <v>Gas licuado (propano)</v>
      </c>
      <c r="T52">
        <f>VLOOKUP($S$52,$S$41:$T$49,2,FALSE)</f>
        <v>11100</v>
      </c>
      <c r="U52" t="str">
        <f>VLOOKUP(S52,$S$41:$U$49,3,FALSE)</f>
        <v>kcal/kg</v>
      </c>
      <c r="W52">
        <f>(O52-Q52)/(1-Q52)*600/T52/M52</f>
        <v>0.060060060060060066</v>
      </c>
      <c r="X52" t="str">
        <f>RIGHT(VLOOKUP(S52,S41:U49,3,FALSE),2)&amp;"/kg capullo fresco"</f>
        <v>kg/kg capullo fresco</v>
      </c>
    </row>
  </sheetData>
  <sheetProtection sheet="1" objects="1" scenarios="1"/>
  <mergeCells count="5">
    <mergeCell ref="W2:AC2"/>
    <mergeCell ref="D2:K2"/>
    <mergeCell ref="L2:N2"/>
    <mergeCell ref="P2:S2"/>
    <mergeCell ref="T2:V2"/>
  </mergeCells>
  <dataValidations count="1">
    <dataValidation type="list" allowBlank="1" showInputMessage="1" showErrorMessage="1" sqref="Y29">
      <formula1>$X$30:$X$31</formula1>
    </dataValidation>
  </dataValidations>
  <printOptions/>
  <pageMargins left="0.7874015748031497" right="0.7874015748031497" top="1.1811023622047245" bottom="0.7874015748031497" header="0" footer="0"/>
  <pageSetup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aulan118</cp:lastModifiedBy>
  <cp:lastPrinted>2006-12-11T21:43:01Z</cp:lastPrinted>
  <dcterms:created xsi:type="dcterms:W3CDTF">2006-05-22T13:47:43Z</dcterms:created>
  <dcterms:modified xsi:type="dcterms:W3CDTF">2006-12-18T17:42:19Z</dcterms:modified>
  <cp:category/>
  <cp:version/>
  <cp:contentType/>
  <cp:contentStatus/>
</cp:coreProperties>
</file>